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W:\_DOC\doc\gaji\2026\7\"/>
    </mc:Choice>
  </mc:AlternateContent>
  <xr:revisionPtr revIDLastSave="0" documentId="13_ncr:1_{47011CD4-82F0-4FB1-A3E7-5FCE798B09CF}" xr6:coauthVersionLast="47" xr6:coauthVersionMax="47" xr10:uidLastSave="{00000000-0000-0000-0000-000000000000}"/>
  <bookViews>
    <workbookView xWindow="5265" yWindow="-11820" windowWidth="18765" windowHeight="10590" xr2:uid="{00000000-000D-0000-FFFF-FFFF00000000}"/>
  </bookViews>
  <sheets>
    <sheet name="Sheet1" sheetId="1" r:id="rId1"/>
    <sheet name="Sheet3" sheetId="2" r:id="rId2"/>
    <sheet name="Sheet2" sheetId="3" r:id="rId3"/>
    <sheet name="dat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4" l="1"/>
  <c r="A11" i="4" s="1"/>
  <c r="A12" i="4" s="1"/>
  <c r="I4" i="4"/>
  <c r="I3" i="4"/>
  <c r="P37" i="3"/>
  <c r="N37" i="3"/>
  <c r="L37" i="3"/>
  <c r="S36" i="3"/>
  <c r="Q36" i="3"/>
  <c r="O36" i="3"/>
  <c r="M36" i="3"/>
  <c r="T36" i="3" s="1"/>
  <c r="S35" i="3"/>
  <c r="Q35" i="3"/>
  <c r="O35" i="3"/>
  <c r="M35" i="3"/>
  <c r="T35" i="3" s="1"/>
  <c r="S34" i="3"/>
  <c r="Q34" i="3"/>
  <c r="O34" i="3"/>
  <c r="M34" i="3"/>
  <c r="T34" i="3" s="1"/>
  <c r="S33" i="3"/>
  <c r="Q33" i="3"/>
  <c r="O33" i="3"/>
  <c r="M33" i="3"/>
  <c r="T33" i="3" s="1"/>
  <c r="S32" i="3"/>
  <c r="Q32" i="3"/>
  <c r="O32" i="3"/>
  <c r="M32" i="3"/>
  <c r="T32" i="3" s="1"/>
  <c r="S31" i="3"/>
  <c r="Q31" i="3"/>
  <c r="O31" i="3"/>
  <c r="M31" i="3"/>
  <c r="T31" i="3" s="1"/>
  <c r="S30" i="3"/>
  <c r="Q30" i="3"/>
  <c r="O30" i="3"/>
  <c r="M30" i="3"/>
  <c r="T30" i="3" s="1"/>
  <c r="S29" i="3"/>
  <c r="Q29" i="3"/>
  <c r="O29" i="3"/>
  <c r="M29" i="3"/>
  <c r="T29" i="3" s="1"/>
  <c r="S28" i="3"/>
  <c r="Q28" i="3"/>
  <c r="O28" i="3"/>
  <c r="M28" i="3"/>
  <c r="T28" i="3" s="1"/>
  <c r="S27" i="3"/>
  <c r="Q27" i="3"/>
  <c r="O27" i="3"/>
  <c r="M27" i="3"/>
  <c r="T27" i="3" s="1"/>
  <c r="S26" i="3"/>
  <c r="Q26" i="3"/>
  <c r="O26" i="3"/>
  <c r="M26" i="3"/>
  <c r="M37" i="3" s="1"/>
  <c r="S25" i="3"/>
  <c r="Q25" i="3"/>
  <c r="O25" i="3"/>
  <c r="O37" i="3" s="1"/>
  <c r="M25" i="3"/>
  <c r="T25" i="3" s="1"/>
  <c r="S24" i="3"/>
  <c r="S37" i="3" s="1"/>
  <c r="Q24" i="3"/>
  <c r="Q37" i="3" s="1"/>
  <c r="O24" i="3"/>
  <c r="M24" i="3"/>
  <c r="T24" i="3" s="1"/>
  <c r="R17" i="3"/>
  <c r="S17" i="3" s="1"/>
  <c r="R16" i="3"/>
  <c r="S16" i="3" s="1"/>
  <c r="R15" i="3"/>
  <c r="S15" i="3" s="1"/>
  <c r="R14" i="3"/>
  <c r="S14" i="3" s="1"/>
  <c r="R13" i="3"/>
  <c r="S13" i="3" s="1"/>
  <c r="R12" i="3"/>
  <c r="S12" i="3" s="1"/>
  <c r="R11" i="3"/>
  <c r="S11" i="3" s="1"/>
  <c r="R10" i="3"/>
  <c r="S10" i="3" s="1"/>
  <c r="R9" i="3"/>
  <c r="S9" i="3" s="1"/>
  <c r="R8" i="3"/>
  <c r="S8" i="3" s="1"/>
  <c r="R7" i="3"/>
  <c r="S7" i="3" s="1"/>
  <c r="R6" i="3"/>
  <c r="S6" i="3" s="1"/>
  <c r="R5" i="3"/>
  <c r="S5" i="3" s="1"/>
  <c r="F25" i="1"/>
  <c r="F27" i="1" s="1"/>
  <c r="X24" i="1"/>
  <c r="X25" i="1" s="1"/>
  <c r="Y25" i="1" s="1"/>
  <c r="W16" i="1"/>
  <c r="AK15" i="1"/>
  <c r="AH15" i="1"/>
  <c r="X15" i="1"/>
  <c r="O15" i="1"/>
  <c r="N15" i="1"/>
  <c r="M15" i="1"/>
  <c r="L15" i="1"/>
  <c r="J15" i="1"/>
  <c r="AL14" i="1"/>
  <c r="AE14" i="1"/>
  <c r="W14" i="1"/>
  <c r="V14" i="1"/>
  <c r="T14" i="1"/>
  <c r="R14" i="1"/>
  <c r="P14" i="1"/>
  <c r="S14" i="1" s="1"/>
  <c r="AO13" i="1"/>
  <c r="AL13" i="1"/>
  <c r="AI13" i="1"/>
  <c r="W13" i="1"/>
  <c r="V13" i="1"/>
  <c r="U13" i="1"/>
  <c r="T13" i="1"/>
  <c r="R13" i="1"/>
  <c r="P13" i="1"/>
  <c r="W12" i="1"/>
  <c r="V12" i="1"/>
  <c r="T12" i="1"/>
  <c r="R12" i="1"/>
  <c r="P12" i="1"/>
  <c r="AO11" i="1"/>
  <c r="AL11" i="1"/>
  <c r="AI11" i="1"/>
  <c r="W11" i="1"/>
  <c r="V11" i="1"/>
  <c r="U11" i="1"/>
  <c r="T11" i="1"/>
  <c r="R11" i="1"/>
  <c r="P11" i="1"/>
  <c r="AO10" i="1"/>
  <c r="AL10" i="1"/>
  <c r="AI10" i="1"/>
  <c r="W10" i="1"/>
  <c r="V10" i="1"/>
  <c r="U10" i="1"/>
  <c r="T10" i="1"/>
  <c r="S10" i="1"/>
  <c r="R10" i="1"/>
  <c r="P10" i="1"/>
  <c r="AD10" i="1" s="1"/>
  <c r="AO9" i="1"/>
  <c r="AL9" i="1"/>
  <c r="AI9" i="1"/>
  <c r="W9" i="1"/>
  <c r="V9" i="1"/>
  <c r="U9" i="1"/>
  <c r="T9" i="1"/>
  <c r="S9" i="1"/>
  <c r="R9" i="1"/>
  <c r="P9" i="1"/>
  <c r="AD9" i="1" s="1"/>
  <c r="AO8" i="1"/>
  <c r="AL8" i="1"/>
  <c r="AI8" i="1"/>
  <c r="AD8" i="1"/>
  <c r="AG8" i="1" s="1"/>
  <c r="W8" i="1"/>
  <c r="V8" i="1"/>
  <c r="U8" i="1"/>
  <c r="T8" i="1"/>
  <c r="S8" i="1"/>
  <c r="R8" i="1"/>
  <c r="P8" i="1"/>
  <c r="W7" i="1"/>
  <c r="V7" i="1"/>
  <c r="U7" i="1"/>
  <c r="T7" i="1"/>
  <c r="S7" i="1"/>
  <c r="R7" i="1"/>
  <c r="P7" i="1"/>
  <c r="AD7" i="1" s="1"/>
  <c r="W6" i="1"/>
  <c r="V6" i="1"/>
  <c r="U6" i="1"/>
  <c r="T6" i="1"/>
  <c r="R6" i="1"/>
  <c r="P6" i="1"/>
  <c r="S6" i="1" s="1"/>
  <c r="S15" i="1" s="1"/>
  <c r="AO5" i="1"/>
  <c r="AL5" i="1"/>
  <c r="AI5" i="1"/>
  <c r="AI15" i="1" s="1"/>
  <c r="W5" i="1"/>
  <c r="W15" i="1" s="1"/>
  <c r="V5" i="1"/>
  <c r="V15" i="1" s="1"/>
  <c r="U5" i="1"/>
  <c r="T5" i="1"/>
  <c r="T15" i="1" s="1"/>
  <c r="R5" i="1"/>
  <c r="R15" i="1" s="1"/>
  <c r="P5" i="1"/>
  <c r="P15" i="1" l="1"/>
  <c r="F28" i="1" s="1"/>
  <c r="L18" i="1"/>
  <c r="F29" i="1"/>
  <c r="AG9" i="1"/>
  <c r="AF9" i="1"/>
  <c r="AF10" i="1"/>
  <c r="AG10" i="1"/>
  <c r="Q11" i="1"/>
  <c r="Y11" i="1" s="1"/>
  <c r="Y24" i="1"/>
  <c r="AD11" i="1"/>
  <c r="AF8" i="1"/>
  <c r="U14" i="1"/>
  <c r="L16" i="1"/>
  <c r="E21" i="1" s="1"/>
  <c r="Q8" i="1" s="1"/>
  <c r="Y8" i="1" s="1"/>
  <c r="T26" i="3"/>
  <c r="T37" i="3" s="1"/>
  <c r="AD5" i="1"/>
  <c r="Q10" i="1"/>
  <c r="Y10" i="1" s="1"/>
  <c r="U12" i="1"/>
  <c r="U15" i="1" s="1"/>
  <c r="AD13" i="1"/>
  <c r="Q9" i="1" l="1"/>
  <c r="Y9" i="1" s="1"/>
  <c r="Q7" i="1"/>
  <c r="Y7" i="1" s="1"/>
  <c r="Q14" i="1"/>
  <c r="Y14" i="1" s="1"/>
  <c r="Q12" i="1"/>
  <c r="Y12" i="1" s="1"/>
  <c r="AG11" i="1"/>
  <c r="AF11" i="1"/>
  <c r="AF13" i="1"/>
  <c r="AG13" i="1"/>
  <c r="AF5" i="1"/>
  <c r="AG5" i="1"/>
  <c r="Q6" i="1"/>
  <c r="Y6" i="1" s="1"/>
  <c r="Q5" i="1"/>
  <c r="Q13" i="1"/>
  <c r="Y13" i="1" s="1"/>
  <c r="Q15" i="1" l="1"/>
  <c r="Y15" i="1" s="1"/>
  <c r="Y5" i="1"/>
</calcChain>
</file>

<file path=xl/sharedStrings.xml><?xml version="1.0" encoding="utf-8"?>
<sst xmlns="http://schemas.openxmlformats.org/spreadsheetml/2006/main" count="215" uniqueCount="86">
  <si>
    <t>Gaji Warnet</t>
  </si>
  <si>
    <t>No</t>
  </si>
  <si>
    <t>OP</t>
  </si>
  <si>
    <t>tetap</t>
  </si>
  <si>
    <t>pk</t>
  </si>
  <si>
    <t>tk</t>
  </si>
  <si>
    <t>senior</t>
  </si>
  <si>
    <t>lulus evaluasi</t>
  </si>
  <si>
    <t>over shift</t>
  </si>
  <si>
    <t>Kebersihan PC</t>
  </si>
  <si>
    <t>konten</t>
  </si>
  <si>
    <t>shift 1</t>
  </si>
  <si>
    <t>shift 2</t>
  </si>
  <si>
    <t>shift 3</t>
  </si>
  <si>
    <t>Shift BO</t>
  </si>
  <si>
    <t>jml jam</t>
  </si>
  <si>
    <t>gaji</t>
  </si>
  <si>
    <t>over
shift</t>
  </si>
  <si>
    <t>Penalty Kebersihan PC</t>
  </si>
  <si>
    <t xml:space="preserve">konten
training
</t>
  </si>
  <si>
    <t xml:space="preserve">hardware komisi cafe
</t>
  </si>
  <si>
    <t>total</t>
  </si>
  <si>
    <t>bo</t>
  </si>
  <si>
    <t>warnet</t>
  </si>
  <si>
    <t>fix total</t>
  </si>
  <si>
    <t>Andra</t>
  </si>
  <si>
    <t>Percobaan</t>
  </si>
  <si>
    <t>meeting</t>
  </si>
  <si>
    <t>Mepet</t>
  </si>
  <si>
    <t>-</t>
  </si>
  <si>
    <t>Arif</t>
  </si>
  <si>
    <t>meeting, telat</t>
  </si>
  <si>
    <t>Firman</t>
  </si>
  <si>
    <t>percobaan</t>
  </si>
  <si>
    <t>Gilang</t>
  </si>
  <si>
    <t>Henbediona</t>
  </si>
  <si>
    <t>Iman</t>
  </si>
  <si>
    <t>Rama</t>
  </si>
  <si>
    <t>mepet</t>
  </si>
  <si>
    <t>Ridwan</t>
  </si>
  <si>
    <t>+</t>
  </si>
  <si>
    <t>Vio</t>
  </si>
  <si>
    <t>Yulika</t>
  </si>
  <si>
    <t>faktor penambah gaji</t>
  </si>
  <si>
    <t>note</t>
  </si>
  <si>
    <t>outlet aktif</t>
  </si>
  <si>
    <t>total jam kerja 1bulan normal</t>
  </si>
  <si>
    <t>total jam tutup karena efisiensi</t>
  </si>
  <si>
    <t>Total jam kerja efektif</t>
  </si>
  <si>
    <t>total jam kerja</t>
  </si>
  <si>
    <t>selisih jam kerja (BO/pendampingan)</t>
  </si>
  <si>
    <t>Rekap Lulus PK</t>
  </si>
  <si>
    <t>1x Agus 24</t>
  </si>
  <si>
    <t>1x Okto 24</t>
  </si>
  <si>
    <t>Nama</t>
  </si>
  <si>
    <t>Tahun Masuk</t>
  </si>
  <si>
    <t>2 Mei 2024</t>
  </si>
  <si>
    <t>15 Mei 2024</t>
  </si>
  <si>
    <t>Hafis</t>
  </si>
  <si>
    <t>11 Juli 2024</t>
  </si>
  <si>
    <t>basik jam</t>
  </si>
  <si>
    <t>basik hari</t>
  </si>
  <si>
    <t>Ali</t>
  </si>
  <si>
    <t>pelatihan</t>
  </si>
  <si>
    <t>Ardian</t>
  </si>
  <si>
    <t>ok</t>
  </si>
  <si>
    <t>Ajeng</t>
  </si>
  <si>
    <t>Yudha</t>
  </si>
  <si>
    <t>Anita</t>
  </si>
  <si>
    <t>Reza</t>
  </si>
  <si>
    <t>Rini</t>
  </si>
  <si>
    <t>Rizal</t>
  </si>
  <si>
    <t>Haris</t>
  </si>
  <si>
    <t>1</t>
  </si>
  <si>
    <t>2-3</t>
  </si>
  <si>
    <t>gc</t>
  </si>
  <si>
    <t>peatihan</t>
  </si>
  <si>
    <t>nilai shift 1</t>
  </si>
  <si>
    <t>no</t>
  </si>
  <si>
    <t xml:space="preserve">shift </t>
  </si>
  <si>
    <t>satu</t>
  </si>
  <si>
    <t>dua-tiga</t>
  </si>
  <si>
    <t>devaluasi M2</t>
  </si>
  <si>
    <t>jml hari pada bulan</t>
  </si>
  <si>
    <t>jml outlet</t>
  </si>
  <si>
    <t>tambahan untk jam shift lebaran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</si>
</sst>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mmmm\-yyyy"/>
    <numFmt numFmtId="165" formatCode="_-* #,##0_-;\-* #,##0_-;_-* &quot;-&quot;_-;_-@"/>
    <numFmt numFmtId="166" formatCode="_(* #,##0_);_(* \(#,##0\);_(* &quot;-&quot;??_);_(@_)"/>
    <numFmt numFmtId="167" formatCode="_(* #,##0.00_);_(* \(#,##0.00\);_(* &quot;-&quot;??_);_(@_)"/>
    <numFmt numFmtId="168" formatCode="dd"/>
    <numFmt numFmtId="169" formatCode="#,##0;[Red]\(#,##0\)"/>
    <numFmt numFmtId="170" formatCode="[$-F800]dddd\,\ mmmm\ dd\,\ yyyy"/>
    <numFmt numFmtId="171" formatCode="mmmm\ yyyy"/>
  </numFmts>
  <fonts count="26">
    <font>
      <sz val="11"/>
      <color rgb="FF000000"/>
      <name val="Calibri"/>
      <scheme val="minor"/>
    </font>
    <font>
      <sz val="12"/>
      <color rgb="FF000000"/>
      <name val="Calibri"/>
    </font>
    <font>
      <b/>
      <sz val="20"/>
      <color theme="1"/>
      <name val="Calibri"/>
    </font>
    <font>
      <sz val="12"/>
      <color rgb="FF1F3964"/>
      <name val="Verdana"/>
    </font>
    <font>
      <sz val="11"/>
      <color theme="1"/>
      <name val="Calibri"/>
    </font>
    <font>
      <sz val="12"/>
      <color rgb="FF1F3964"/>
      <name val="Arial"/>
    </font>
    <font>
      <sz val="11"/>
      <name val="Calibri"/>
    </font>
    <font>
      <sz val="11"/>
      <color theme="1"/>
      <name val="Calibri"/>
      <scheme val="minor"/>
    </font>
    <font>
      <sz val="14"/>
      <color rgb="FF1F3964"/>
      <name val="Verdana"/>
    </font>
    <font>
      <sz val="14"/>
      <color rgb="FF333333"/>
      <name val="Verdana"/>
    </font>
    <font>
      <b/>
      <sz val="14"/>
      <color theme="1"/>
      <name val="Verdana"/>
    </font>
    <font>
      <sz val="12"/>
      <color theme="1"/>
      <name val="Verdana"/>
    </font>
    <font>
      <sz val="14"/>
      <color theme="1"/>
      <name val="Verdana"/>
    </font>
    <font>
      <sz val="11"/>
      <color rgb="FF000000"/>
      <name val="Verdana"/>
    </font>
    <font>
      <sz val="11"/>
      <color rgb="FFA5A5A5"/>
      <name val="Verdana"/>
    </font>
    <font>
      <sz val="11"/>
      <color theme="1"/>
      <name val="Verdana"/>
    </font>
    <font>
      <sz val="10"/>
      <color rgb="FF002060"/>
      <name val="Verdana"/>
    </font>
    <font>
      <sz val="12"/>
      <color rgb="FF000000"/>
      <name val="Verdana"/>
    </font>
    <font>
      <b/>
      <sz val="12"/>
      <color rgb="FF000000"/>
      <name val="Verdana"/>
    </font>
    <font>
      <sz val="12"/>
      <color theme="0"/>
      <name val="Verdana"/>
    </font>
    <font>
      <sz val="12"/>
      <color rgb="FF435369"/>
      <name val="Verdana"/>
    </font>
    <font>
      <sz val="9"/>
      <color rgb="FF000000"/>
      <name val="Verdana"/>
    </font>
    <font>
      <b/>
      <sz val="12"/>
      <color rgb="FF435369"/>
      <name val="Verdana"/>
    </font>
    <font>
      <sz val="8"/>
      <color rgb="FF1F3964"/>
      <name val="Arial"/>
    </font>
    <font>
      <sz val="8"/>
      <color theme="1"/>
      <name val="Calibri"/>
    </font>
    <font>
      <sz val="11"/>
      <color rgb="FFFFFF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F5F5F5"/>
        <bgColor rgb="FFF5F5F5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rgb="FFFF0000"/>
        <bgColor rgb="FFFF0000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3">
    <xf numFmtId="0" fontId="0" fillId="0" borderId="0" xfId="0" applyFont="1" applyAlignme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165" fontId="3" fillId="3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right" vertical="center" wrapText="1"/>
    </xf>
    <xf numFmtId="0" fontId="4" fillId="4" borderId="10" xfId="0" applyFont="1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165" fontId="10" fillId="4" borderId="10" xfId="0" applyNumberFormat="1" applyFont="1" applyFill="1" applyBorder="1" applyAlignment="1">
      <alignment horizontal="right" vertical="center" wrapText="1"/>
    </xf>
    <xf numFmtId="165" fontId="3" fillId="3" borderId="6" xfId="0" applyNumberFormat="1" applyFont="1" applyFill="1" applyBorder="1" applyAlignment="1">
      <alignment horizontal="right" vertical="center" wrapText="1"/>
    </xf>
    <xf numFmtId="165" fontId="11" fillId="3" borderId="6" xfId="0" applyNumberFormat="1" applyFont="1" applyFill="1" applyBorder="1" applyAlignment="1">
      <alignment horizontal="right" vertical="center" wrapText="1"/>
    </xf>
    <xf numFmtId="37" fontId="3" fillId="3" borderId="6" xfId="0" applyNumberFormat="1" applyFont="1" applyFill="1" applyBorder="1" applyAlignment="1">
      <alignment horizontal="right" vertical="center" wrapText="1"/>
    </xf>
    <xf numFmtId="166" fontId="3" fillId="3" borderId="6" xfId="0" applyNumberFormat="1" applyFont="1" applyFill="1" applyBorder="1" applyAlignment="1">
      <alignment horizontal="right" vertical="center" wrapText="1"/>
    </xf>
    <xf numFmtId="165" fontId="3" fillId="3" borderId="11" xfId="0" applyNumberFormat="1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right" vertical="center" wrapText="1"/>
    </xf>
    <xf numFmtId="166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0" fontId="8" fillId="4" borderId="6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/>
    </xf>
    <xf numFmtId="165" fontId="3" fillId="0" borderId="6" xfId="0" applyNumberFormat="1" applyFont="1" applyBorder="1" applyAlignment="1">
      <alignment horizontal="right" vertical="center" wrapText="1"/>
    </xf>
    <xf numFmtId="166" fontId="3" fillId="3" borderId="6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center" vertical="center"/>
    </xf>
    <xf numFmtId="165" fontId="5" fillId="5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/>
    </xf>
    <xf numFmtId="0" fontId="4" fillId="6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8" fillId="4" borderId="6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/>
    </xf>
    <xf numFmtId="0" fontId="1" fillId="3" borderId="4" xfId="0" applyFont="1" applyFill="1" applyBorder="1" applyAlignment="1"/>
    <xf numFmtId="0" fontId="8" fillId="3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right" vertical="center"/>
    </xf>
    <xf numFmtId="166" fontId="4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left"/>
    </xf>
    <xf numFmtId="0" fontId="5" fillId="5" borderId="6" xfId="0" quotePrefix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0" fontId="3" fillId="3" borderId="6" xfId="0" quotePrefix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6" borderId="6" xfId="0" applyFont="1" applyFill="1" applyBorder="1" applyAlignment="1">
      <alignment horizontal="right" vertical="center" wrapText="1"/>
    </xf>
    <xf numFmtId="0" fontId="12" fillId="4" borderId="6" xfId="0" applyFont="1" applyFill="1" applyBorder="1" applyAlignment="1">
      <alignment horizontal="right" vertical="center"/>
    </xf>
    <xf numFmtId="165" fontId="3" fillId="0" borderId="6" xfId="0" applyNumberFormat="1" applyFont="1" applyBorder="1" applyAlignment="1">
      <alignment horizontal="righ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right" vertical="center"/>
    </xf>
    <xf numFmtId="3" fontId="8" fillId="2" borderId="14" xfId="0" applyNumberFormat="1" applyFont="1" applyFill="1" applyBorder="1" applyAlignment="1">
      <alignment horizontal="right" vertical="center"/>
    </xf>
    <xf numFmtId="165" fontId="10" fillId="2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/>
    </xf>
    <xf numFmtId="37" fontId="3" fillId="2" borderId="14" xfId="0" applyNumberFormat="1" applyFont="1" applyFill="1" applyBorder="1" applyAlignment="1">
      <alignment horizontal="right" vertical="center"/>
    </xf>
    <xf numFmtId="165" fontId="3" fillId="2" borderId="15" xfId="0" applyNumberFormat="1" applyFont="1" applyFill="1" applyBorder="1" applyAlignment="1">
      <alignment horizontal="right" vertical="center" wrapText="1"/>
    </xf>
    <xf numFmtId="166" fontId="4" fillId="2" borderId="4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/>
    <xf numFmtId="0" fontId="15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7" borderId="4" xfId="0" applyFont="1" applyFill="1" applyBorder="1" applyAlignment="1">
      <alignment horizontal="center" vertical="center"/>
    </xf>
    <xf numFmtId="0" fontId="18" fillId="0" borderId="0" xfId="0" applyFont="1" applyAlignme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3" fillId="0" borderId="0" xfId="0" applyFont="1" applyAlignment="1">
      <alignment horizontal="right" vertical="center"/>
    </xf>
    <xf numFmtId="166" fontId="19" fillId="0" borderId="0" xfId="0" applyNumberFormat="1" applyFont="1" applyAlignment="1">
      <alignment horizontal="left"/>
    </xf>
    <xf numFmtId="167" fontId="19" fillId="0" borderId="0" xfId="0" applyNumberFormat="1" applyFont="1" applyAlignment="1">
      <alignment horizontal="left"/>
    </xf>
    <xf numFmtId="165" fontId="20" fillId="0" borderId="0" xfId="0" applyNumberFormat="1" applyFont="1" applyAlignment="1">
      <alignment horizontal="right" vertical="center"/>
    </xf>
    <xf numFmtId="0" fontId="20" fillId="0" borderId="0" xfId="0" applyFont="1" applyAlignment="1"/>
    <xf numFmtId="168" fontId="17" fillId="0" borderId="0" xfId="0" applyNumberFormat="1" applyFont="1" applyAlignment="1"/>
    <xf numFmtId="166" fontId="21" fillId="0" borderId="0" xfId="0" applyNumberFormat="1" applyFont="1" applyAlignment="1"/>
    <xf numFmtId="165" fontId="3" fillId="0" borderId="18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/>
    </xf>
    <xf numFmtId="165" fontId="22" fillId="0" borderId="0" xfId="0" applyNumberFormat="1" applyFont="1" applyAlignment="1">
      <alignment horizontal="right" vertical="center"/>
    </xf>
    <xf numFmtId="169" fontId="20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170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65" fontId="23" fillId="2" borderId="6" xfId="0" applyNumberFormat="1" applyFont="1" applyFill="1" applyBorder="1" applyAlignment="1">
      <alignment horizontal="center" vertical="center" wrapText="1"/>
    </xf>
    <xf numFmtId="165" fontId="23" fillId="2" borderId="6" xfId="0" applyNumberFormat="1" applyFont="1" applyFill="1" applyBorder="1" applyAlignment="1">
      <alignment horizontal="center" vertical="center"/>
    </xf>
    <xf numFmtId="165" fontId="23" fillId="0" borderId="6" xfId="0" applyNumberFormat="1" applyFont="1" applyBorder="1" applyAlignment="1">
      <alignment horizontal="center" vertical="center" wrapText="1"/>
    </xf>
    <xf numFmtId="165" fontId="23" fillId="0" borderId="6" xfId="0" applyNumberFormat="1" applyFont="1" applyBorder="1" applyAlignment="1">
      <alignment horizontal="left" vertical="center"/>
    </xf>
    <xf numFmtId="165" fontId="23" fillId="0" borderId="6" xfId="0" applyNumberFormat="1" applyFont="1" applyBorder="1" applyAlignment="1">
      <alignment horizontal="left" vertical="center" wrapText="1"/>
    </xf>
    <xf numFmtId="165" fontId="23" fillId="0" borderId="6" xfId="0" applyNumberFormat="1" applyFont="1" applyBorder="1" applyAlignment="1">
      <alignment horizontal="center" vertical="center"/>
    </xf>
    <xf numFmtId="165" fontId="23" fillId="0" borderId="6" xfId="0" applyNumberFormat="1" applyFont="1" applyBorder="1" applyAlignment="1">
      <alignment horizontal="right" vertical="center" wrapText="1"/>
    </xf>
    <xf numFmtId="165" fontId="23" fillId="7" borderId="6" xfId="0" applyNumberFormat="1" applyFont="1" applyFill="1" applyBorder="1" applyAlignment="1">
      <alignment horizontal="center" vertical="center" wrapText="1"/>
    </xf>
    <xf numFmtId="165" fontId="23" fillId="7" borderId="6" xfId="0" applyNumberFormat="1" applyFont="1" applyFill="1" applyBorder="1" applyAlignment="1">
      <alignment horizontal="left" vertical="center" wrapText="1"/>
    </xf>
    <xf numFmtId="165" fontId="23" fillId="7" borderId="6" xfId="0" applyNumberFormat="1" applyFont="1" applyFill="1" applyBorder="1" applyAlignment="1">
      <alignment horizontal="left" vertical="center"/>
    </xf>
    <xf numFmtId="165" fontId="23" fillId="7" borderId="6" xfId="0" applyNumberFormat="1" applyFont="1" applyFill="1" applyBorder="1" applyAlignment="1">
      <alignment horizontal="center" vertical="center"/>
    </xf>
    <xf numFmtId="165" fontId="23" fillId="7" borderId="6" xfId="0" applyNumberFormat="1" applyFont="1" applyFill="1" applyBorder="1" applyAlignment="1">
      <alignment horizontal="right" vertical="center" wrapText="1"/>
    </xf>
    <xf numFmtId="165" fontId="23" fillId="7" borderId="6" xfId="0" applyNumberFormat="1" applyFont="1" applyFill="1" applyBorder="1" applyAlignment="1">
      <alignment horizontal="right" vertical="center"/>
    </xf>
    <xf numFmtId="165" fontId="23" fillId="0" borderId="6" xfId="0" quotePrefix="1" applyNumberFormat="1" applyFont="1" applyBorder="1" applyAlignment="1">
      <alignment horizontal="center" vertical="center"/>
    </xf>
    <xf numFmtId="165" fontId="23" fillId="0" borderId="6" xfId="0" applyNumberFormat="1" applyFont="1" applyBorder="1" applyAlignment="1">
      <alignment horizontal="right" vertical="center"/>
    </xf>
    <xf numFmtId="165" fontId="23" fillId="5" borderId="6" xfId="0" applyNumberFormat="1" applyFont="1" applyFill="1" applyBorder="1" applyAlignment="1">
      <alignment horizontal="center" vertical="center" wrapText="1"/>
    </xf>
    <xf numFmtId="165" fontId="23" fillId="5" borderId="6" xfId="0" applyNumberFormat="1" applyFont="1" applyFill="1" applyBorder="1" applyAlignment="1">
      <alignment horizontal="left" vertical="center"/>
    </xf>
    <xf numFmtId="165" fontId="23" fillId="5" borderId="6" xfId="0" applyNumberFormat="1" applyFont="1" applyFill="1" applyBorder="1" applyAlignment="1">
      <alignment horizontal="center" vertical="center"/>
    </xf>
    <xf numFmtId="165" fontId="23" fillId="5" borderId="6" xfId="0" applyNumberFormat="1" applyFont="1" applyFill="1" applyBorder="1" applyAlignment="1">
      <alignment horizontal="right" vertical="center"/>
    </xf>
    <xf numFmtId="165" fontId="23" fillId="5" borderId="6" xfId="0" applyNumberFormat="1" applyFont="1" applyFill="1" applyBorder="1" applyAlignment="1">
      <alignment horizontal="right" vertical="center" wrapText="1"/>
    </xf>
    <xf numFmtId="165" fontId="23" fillId="5" borderId="6" xfId="0" applyNumberFormat="1" applyFont="1" applyFill="1" applyBorder="1" applyAlignment="1">
      <alignment horizontal="left" vertical="center" wrapText="1"/>
    </xf>
    <xf numFmtId="165" fontId="24" fillId="0" borderId="6" xfId="0" applyNumberFormat="1" applyFont="1" applyBorder="1" applyAlignment="1">
      <alignment vertical="center"/>
    </xf>
    <xf numFmtId="165" fontId="23" fillId="2" borderId="6" xfId="0" applyNumberFormat="1" applyFont="1" applyFill="1" applyBorder="1" applyAlignment="1">
      <alignment horizontal="left" vertical="center"/>
    </xf>
    <xf numFmtId="165" fontId="23" fillId="2" borderId="6" xfId="0" applyNumberFormat="1" applyFont="1" applyFill="1" applyBorder="1" applyAlignment="1">
      <alignment horizontal="right" vertical="center"/>
    </xf>
    <xf numFmtId="165" fontId="4" fillId="0" borderId="0" xfId="0" quotePrefix="1" applyNumberFormat="1" applyFont="1" applyAlignment="1">
      <alignment vertical="center"/>
    </xf>
    <xf numFmtId="165" fontId="4" fillId="0" borderId="6" xfId="0" applyNumberFormat="1" applyFont="1" applyBorder="1" applyAlignment="1">
      <alignment vertical="center"/>
    </xf>
    <xf numFmtId="165" fontId="4" fillId="2" borderId="6" xfId="0" applyNumberFormat="1" applyFont="1" applyFill="1" applyBorder="1" applyAlignment="1">
      <alignment vertical="center"/>
    </xf>
    <xf numFmtId="171" fontId="4" fillId="0" borderId="0" xfId="0" applyNumberFormat="1" applyFont="1" applyAlignment="1">
      <alignment vertical="center"/>
    </xf>
    <xf numFmtId="168" fontId="4" fillId="0" borderId="0" xfId="0" applyNumberFormat="1" applyFont="1" applyAlignment="1">
      <alignment horizontal="center" vertical="center"/>
    </xf>
    <xf numFmtId="0" fontId="25" fillId="10" borderId="4" xfId="0" applyFont="1" applyFill="1" applyBorder="1" applyAlignment="1">
      <alignment vertical="center"/>
    </xf>
    <xf numFmtId="0" fontId="11" fillId="8" borderId="16" xfId="0" applyFont="1" applyFill="1" applyBorder="1" applyAlignment="1">
      <alignment horizontal="right" vertical="center"/>
    </xf>
    <xf numFmtId="0" fontId="6" fillId="0" borderId="1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1" fillId="9" borderId="16" xfId="0" applyFont="1" applyFill="1" applyBorder="1" applyAlignment="1">
      <alignment horizontal="right" vertical="center"/>
    </xf>
    <xf numFmtId="164" fontId="2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/>
    </xf>
    <xf numFmtId="22" fontId="16" fillId="0" borderId="0" xfId="0" applyNumberFormat="1" applyFont="1" applyAlignment="1">
      <alignment horizontal="center" vertical="center"/>
    </xf>
    <xf numFmtId="165" fontId="3" fillId="7" borderId="16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4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998"/>
  <sheetViews>
    <sheetView showGridLines="0" tabSelected="1" topLeftCell="J4" zoomScale="62" zoomScaleNormal="62" workbookViewId="0">
      <selection activeCell="Q19" sqref="Q19"/>
    </sheetView>
  </sheetViews>
  <sheetFormatPr defaultColWidth="14.42578125" defaultRowHeight="15" customHeight="1"/>
  <cols>
    <col min="1" max="1" width="10" customWidth="1"/>
    <col min="2" max="2" width="4.7109375" customWidth="1"/>
    <col min="3" max="3" width="19.42578125" customWidth="1"/>
    <col min="4" max="4" width="16.28515625" customWidth="1"/>
    <col min="5" max="5" width="22.28515625" customWidth="1"/>
    <col min="6" max="6" width="12.140625" customWidth="1"/>
    <col min="7" max="7" width="11.7109375" customWidth="1"/>
    <col min="8" max="8" width="14" customWidth="1"/>
    <col min="9" max="9" width="11.140625" customWidth="1"/>
    <col min="10" max="10" width="16.5703125" customWidth="1"/>
    <col min="11" max="11" width="12.140625" customWidth="1"/>
    <col min="12" max="14" width="10" customWidth="1"/>
    <col min="15" max="15" width="9.85546875" customWidth="1"/>
    <col min="16" max="16" width="13.7109375" customWidth="1"/>
    <col min="17" max="17" width="18.5703125" customWidth="1"/>
    <col min="18" max="18" width="16.140625" customWidth="1"/>
    <col min="19" max="19" width="14.42578125" customWidth="1"/>
    <col min="20" max="20" width="17.140625" customWidth="1"/>
    <col min="21" max="21" width="16.85546875" customWidth="1"/>
    <col min="22" max="22" width="19.140625" customWidth="1"/>
    <col min="23" max="23" width="17.5703125" customWidth="1"/>
    <col min="24" max="24" width="19.140625" customWidth="1"/>
    <col min="25" max="25" width="22" customWidth="1"/>
    <col min="26" max="26" width="4.85546875" customWidth="1"/>
    <col min="27" max="27" width="3.7109375" customWidth="1"/>
    <col min="28" max="28" width="5.5703125" customWidth="1"/>
    <col min="29" max="29" width="3.28515625" customWidth="1"/>
    <col min="30" max="32" width="10" customWidth="1"/>
    <col min="33" max="33" width="10.140625" customWidth="1"/>
    <col min="34" max="36" width="10" customWidth="1"/>
    <col min="37" max="37" width="15.85546875" customWidth="1"/>
    <col min="38" max="38" width="13" customWidth="1"/>
    <col min="39" max="39" width="10" customWidth="1"/>
    <col min="40" max="40" width="10.85546875" customWidth="1"/>
    <col min="41" max="41" width="10" customWidth="1"/>
    <col min="42" max="42" width="14.28515625" customWidth="1"/>
  </cols>
  <sheetData>
    <row r="1" spans="1:42" ht="15.7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42" ht="26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2" ht="26.25">
      <c r="A3" s="1"/>
      <c r="B3" s="142">
        <v>46082</v>
      </c>
      <c r="C3" s="143"/>
      <c r="D3" s="14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42" ht="45">
      <c r="A4" s="1"/>
      <c r="B4" s="3" t="s">
        <v>1</v>
      </c>
      <c r="C4" s="4" t="s">
        <v>2</v>
      </c>
      <c r="D4" s="5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4</v>
      </c>
      <c r="S4" s="4" t="s">
        <v>5</v>
      </c>
      <c r="T4" s="4" t="s">
        <v>6</v>
      </c>
      <c r="U4" s="4" t="s">
        <v>17</v>
      </c>
      <c r="V4" s="4" t="s">
        <v>18</v>
      </c>
      <c r="W4" s="4" t="s">
        <v>19</v>
      </c>
      <c r="X4" s="4" t="s">
        <v>20</v>
      </c>
      <c r="Y4" s="6" t="s">
        <v>21</v>
      </c>
      <c r="Z4" s="7"/>
      <c r="AA4" s="7"/>
      <c r="AB4" s="7"/>
      <c r="AC4" s="7"/>
      <c r="AD4" s="8" t="s">
        <v>21</v>
      </c>
      <c r="AE4" s="9" t="s">
        <v>22</v>
      </c>
      <c r="AF4" s="9" t="s">
        <v>23</v>
      </c>
      <c r="AG4" s="10" t="s">
        <v>21</v>
      </c>
      <c r="AH4" s="144" t="s">
        <v>22</v>
      </c>
      <c r="AI4" s="140"/>
      <c r="AK4" s="11" t="s">
        <v>24</v>
      </c>
    </row>
    <row r="5" spans="1:42" ht="24.75" customHeight="1">
      <c r="A5" s="1"/>
      <c r="B5" s="12">
        <v>1</v>
      </c>
      <c r="C5" s="13" t="s">
        <v>25</v>
      </c>
      <c r="D5" s="14" t="s">
        <v>26</v>
      </c>
      <c r="E5" s="13" t="s">
        <v>27</v>
      </c>
      <c r="F5" s="13" t="s">
        <v>28</v>
      </c>
      <c r="G5" s="15"/>
      <c r="H5" s="16"/>
      <c r="I5" s="17" t="s">
        <v>29</v>
      </c>
      <c r="J5" s="16"/>
      <c r="K5" s="18"/>
      <c r="L5" s="19">
        <v>57</v>
      </c>
      <c r="M5" s="20"/>
      <c r="N5" s="21">
        <v>80</v>
      </c>
      <c r="O5" s="15"/>
      <c r="P5" s="22">
        <f t="shared" ref="P5:P15" si="0">SUM(L5:O5)</f>
        <v>137</v>
      </c>
      <c r="Q5" s="23">
        <f>((data!$A$3/8)*L5)+((data!$B$3/8)*(M5+N5+O5))+(P5*$E$21)</f>
        <v>675000</v>
      </c>
      <c r="R5" s="23">
        <f t="shared" ref="R5:R14" si="1">IF(D5="Percobaan",0,IF(AND(E5="",G5&gt;0,H5="ok"),100000,IF(AND(E5="",G5&gt;0,H5=""),50000,IF(AND(E5=""),100000,0))))</f>
        <v>0</v>
      </c>
      <c r="S5" s="23"/>
      <c r="T5" s="24">
        <f t="shared" ref="T5:T14" si="2">IF(AND(G5&gt;0,H5=""),50000,IF(AND(G5&gt;0,H5="ok"),G5*50000,0))</f>
        <v>0</v>
      </c>
      <c r="U5" s="23">
        <f t="shared" ref="U5:U14" si="3">IF(OR(D5="Percobaan",D5=""),0,IF(I5="+",P5/8*3000,IF(I5="-",0,P5/8*2000)))</f>
        <v>0</v>
      </c>
      <c r="V5" s="25">
        <f t="shared" ref="V5:V14" si="4">J5*-12500</f>
        <v>0</v>
      </c>
      <c r="W5" s="23">
        <f t="shared" ref="W5:W14" si="5">IF(K5="ok",50000+AA5,0+AA5)</f>
        <v>0</v>
      </c>
      <c r="X5" s="26">
        <v>8400</v>
      </c>
      <c r="Y5" s="27">
        <f t="shared" ref="Y5:Y15" si="6">CEILING(SUM(Q5:X5),500)</f>
        <v>683500</v>
      </c>
      <c r="Z5" s="7"/>
      <c r="AA5" s="7"/>
      <c r="AB5" s="7"/>
      <c r="AC5" s="7"/>
      <c r="AD5" s="28">
        <f>P5/8</f>
        <v>17.125</v>
      </c>
      <c r="AE5" s="7"/>
      <c r="AF5" s="7">
        <f>AD5-AE5</f>
        <v>17.125</v>
      </c>
      <c r="AG5" s="7">
        <f>AD5+AI5</f>
        <v>28.125</v>
      </c>
      <c r="AH5" s="29">
        <v>88</v>
      </c>
      <c r="AI5" s="7">
        <f>AH5/8</f>
        <v>11</v>
      </c>
      <c r="AK5" s="30">
        <v>1037500</v>
      </c>
      <c r="AL5" s="11" t="str">
        <f>C5</f>
        <v>Andra</v>
      </c>
      <c r="AN5" s="31"/>
      <c r="AO5" s="11">
        <f>AN5*AM5</f>
        <v>0</v>
      </c>
    </row>
    <row r="6" spans="1:42" ht="24.75" customHeight="1">
      <c r="A6" s="1"/>
      <c r="B6" s="12">
        <v>2</v>
      </c>
      <c r="C6" s="32" t="s">
        <v>30</v>
      </c>
      <c r="D6" s="33" t="s">
        <v>3</v>
      </c>
      <c r="E6" s="32" t="s">
        <v>31</v>
      </c>
      <c r="F6" s="34"/>
      <c r="G6" s="32">
        <v>1</v>
      </c>
      <c r="H6" s="16"/>
      <c r="I6" s="17" t="s">
        <v>29</v>
      </c>
      <c r="J6" s="16"/>
      <c r="K6" s="18"/>
      <c r="L6" s="34">
        <v>3</v>
      </c>
      <c r="M6" s="35">
        <v>108</v>
      </c>
      <c r="N6" s="36">
        <v>94</v>
      </c>
      <c r="O6" s="34"/>
      <c r="P6" s="22">
        <f t="shared" si="0"/>
        <v>205</v>
      </c>
      <c r="Q6" s="23">
        <f>((data!$A$3/8)*L6)+((data!$B$3/8)*(M6+N6+O6))+(P6*$E$21)</f>
        <v>999750</v>
      </c>
      <c r="R6" s="23">
        <f t="shared" si="1"/>
        <v>0</v>
      </c>
      <c r="S6" s="23">
        <f t="shared" ref="S6:S10" si="7">((P6/8)*1000)</f>
        <v>25625</v>
      </c>
      <c r="T6" s="37">
        <f t="shared" si="2"/>
        <v>50000</v>
      </c>
      <c r="U6" s="23">
        <f t="shared" si="3"/>
        <v>0</v>
      </c>
      <c r="V6" s="25">
        <f t="shared" si="4"/>
        <v>0</v>
      </c>
      <c r="W6" s="23">
        <f t="shared" si="5"/>
        <v>0</v>
      </c>
      <c r="X6" s="38"/>
      <c r="Y6" s="27">
        <f t="shared" si="6"/>
        <v>1075500</v>
      </c>
      <c r="Z6" s="7"/>
      <c r="AA6" s="7"/>
      <c r="AB6" s="7"/>
      <c r="AC6" s="7"/>
      <c r="AD6" s="28"/>
      <c r="AE6" s="7"/>
      <c r="AF6" s="7"/>
      <c r="AG6" s="7"/>
      <c r="AH6" s="29"/>
      <c r="AI6" s="7"/>
      <c r="AK6" s="30"/>
      <c r="AN6" s="31"/>
    </row>
    <row r="7" spans="1:42" ht="24" customHeight="1">
      <c r="A7" s="1"/>
      <c r="B7" s="12">
        <v>3</v>
      </c>
      <c r="C7" s="32" t="s">
        <v>32</v>
      </c>
      <c r="D7" s="33" t="s">
        <v>33</v>
      </c>
      <c r="E7" s="32" t="s">
        <v>31</v>
      </c>
      <c r="F7" s="34"/>
      <c r="G7" s="34"/>
      <c r="H7" s="39"/>
      <c r="I7" s="40" t="s">
        <v>29</v>
      </c>
      <c r="J7" s="16"/>
      <c r="K7" s="39"/>
      <c r="L7" s="34"/>
      <c r="M7" s="41">
        <v>8</v>
      </c>
      <c r="N7" s="42">
        <v>49</v>
      </c>
      <c r="O7" s="34"/>
      <c r="P7" s="22">
        <f t="shared" si="0"/>
        <v>57</v>
      </c>
      <c r="Q7" s="23">
        <f>((data!$A$3/8)*L7)+((data!$B$3/8)*(M7+N7+O7))+(P7*$E$21)</f>
        <v>277875</v>
      </c>
      <c r="R7" s="23">
        <f t="shared" si="1"/>
        <v>0</v>
      </c>
      <c r="S7" s="23">
        <f t="shared" si="7"/>
        <v>7125</v>
      </c>
      <c r="T7" s="24">
        <f t="shared" si="2"/>
        <v>0</v>
      </c>
      <c r="U7" s="23">
        <f t="shared" si="3"/>
        <v>0</v>
      </c>
      <c r="V7" s="25">
        <f t="shared" si="4"/>
        <v>0</v>
      </c>
      <c r="W7" s="23">
        <f t="shared" si="5"/>
        <v>0</v>
      </c>
      <c r="X7" s="38">
        <v>3000</v>
      </c>
      <c r="Y7" s="27">
        <f t="shared" si="6"/>
        <v>288000</v>
      </c>
      <c r="Z7" s="7"/>
      <c r="AA7" s="7"/>
      <c r="AB7" s="7"/>
      <c r="AC7" s="7"/>
      <c r="AD7" s="28">
        <f t="shared" ref="AD7:AD11" si="8">P7/8</f>
        <v>7.125</v>
      </c>
      <c r="AE7" s="7"/>
      <c r="AF7" s="7"/>
      <c r="AG7" s="7"/>
      <c r="AH7" s="29"/>
      <c r="AI7" s="7"/>
      <c r="AK7" s="30"/>
      <c r="AN7" s="31"/>
    </row>
    <row r="8" spans="1:42" ht="21" customHeight="1">
      <c r="A8" s="1"/>
      <c r="B8" s="12">
        <v>4</v>
      </c>
      <c r="C8" s="32" t="s">
        <v>34</v>
      </c>
      <c r="D8" s="33" t="s">
        <v>3</v>
      </c>
      <c r="E8" s="34"/>
      <c r="F8" s="34"/>
      <c r="G8" s="33">
        <v>1</v>
      </c>
      <c r="H8" s="39"/>
      <c r="I8" s="40"/>
      <c r="J8" s="16"/>
      <c r="K8" s="39"/>
      <c r="L8" s="43"/>
      <c r="M8" s="36">
        <v>22</v>
      </c>
      <c r="N8" s="44"/>
      <c r="O8" s="45">
        <v>180</v>
      </c>
      <c r="P8" s="22">
        <f t="shared" si="0"/>
        <v>202</v>
      </c>
      <c r="Q8" s="23">
        <f>((data!$A$3/8)*L8)+((data!$B$3/8)*(M8+N8+O8))+(P8*$E$21)</f>
        <v>984750</v>
      </c>
      <c r="R8" s="23">
        <f t="shared" si="1"/>
        <v>50000</v>
      </c>
      <c r="S8" s="23">
        <f t="shared" si="7"/>
        <v>25250</v>
      </c>
      <c r="T8" s="37">
        <f t="shared" si="2"/>
        <v>50000</v>
      </c>
      <c r="U8" s="23">
        <f t="shared" si="3"/>
        <v>50500</v>
      </c>
      <c r="V8" s="25">
        <f t="shared" si="4"/>
        <v>0</v>
      </c>
      <c r="W8" s="23">
        <f t="shared" si="5"/>
        <v>0</v>
      </c>
      <c r="X8" s="26">
        <v>400</v>
      </c>
      <c r="Y8" s="27">
        <f t="shared" si="6"/>
        <v>1161000</v>
      </c>
      <c r="Z8" s="7"/>
      <c r="AA8" s="7"/>
      <c r="AB8" s="7"/>
      <c r="AC8" s="7"/>
      <c r="AD8" s="28">
        <f t="shared" si="8"/>
        <v>25.25</v>
      </c>
      <c r="AE8" s="7"/>
      <c r="AF8" s="7">
        <f t="shared" ref="AF8:AF11" si="9">AD8-AE8</f>
        <v>25.25</v>
      </c>
      <c r="AG8" s="7">
        <f t="shared" ref="AG8:AG11" si="10">AD8+AI8</f>
        <v>25.25</v>
      </c>
      <c r="AH8" s="46"/>
      <c r="AI8" s="7">
        <f t="shared" ref="AI8:AI11" si="11">AH8/8</f>
        <v>0</v>
      </c>
      <c r="AK8" s="30">
        <v>637500</v>
      </c>
      <c r="AL8" s="11" t="str">
        <f t="shared" ref="AL8:AL11" si="12">C8</f>
        <v>Gilang</v>
      </c>
      <c r="AN8" s="31"/>
      <c r="AO8" s="11">
        <f t="shared" ref="AO8:AO11" si="13">AN8*AM8</f>
        <v>0</v>
      </c>
    </row>
    <row r="9" spans="1:42" ht="20.25" customHeight="1">
      <c r="A9" s="47"/>
      <c r="B9" s="12">
        <v>5</v>
      </c>
      <c r="C9" s="33" t="s">
        <v>35</v>
      </c>
      <c r="D9" s="33" t="s">
        <v>3</v>
      </c>
      <c r="E9" s="34"/>
      <c r="F9" s="34"/>
      <c r="G9" s="34"/>
      <c r="H9" s="39"/>
      <c r="I9" s="17" t="s">
        <v>29</v>
      </c>
      <c r="J9" s="16"/>
      <c r="K9" s="48"/>
      <c r="L9" s="49">
        <v>8</v>
      </c>
      <c r="M9" s="49">
        <v>24</v>
      </c>
      <c r="N9" s="36">
        <v>140</v>
      </c>
      <c r="O9" s="34"/>
      <c r="P9" s="22">
        <f t="shared" si="0"/>
        <v>172</v>
      </c>
      <c r="Q9" s="23">
        <f>((data!$A$3/8)*L9)+((data!$B$3/8)*(M9+N9+O9))+(P9*$E$21)</f>
        <v>839500</v>
      </c>
      <c r="R9" s="23">
        <f t="shared" si="1"/>
        <v>100000</v>
      </c>
      <c r="S9" s="23">
        <f t="shared" si="7"/>
        <v>21500</v>
      </c>
      <c r="T9" s="24">
        <f t="shared" si="2"/>
        <v>0</v>
      </c>
      <c r="U9" s="23">
        <f t="shared" si="3"/>
        <v>0</v>
      </c>
      <c r="V9" s="25">
        <f t="shared" si="4"/>
        <v>0</v>
      </c>
      <c r="W9" s="23">
        <f t="shared" si="5"/>
        <v>0</v>
      </c>
      <c r="X9" s="26">
        <v>14400</v>
      </c>
      <c r="Y9" s="27">
        <f t="shared" si="6"/>
        <v>975500</v>
      </c>
      <c r="Z9" s="7"/>
      <c r="AA9" s="7"/>
      <c r="AB9" s="7"/>
      <c r="AC9" s="7"/>
      <c r="AD9" s="28">
        <f t="shared" si="8"/>
        <v>21.5</v>
      </c>
      <c r="AE9" s="7"/>
      <c r="AF9" s="7">
        <f t="shared" si="9"/>
        <v>21.5</v>
      </c>
      <c r="AG9" s="7">
        <f t="shared" si="10"/>
        <v>23.5</v>
      </c>
      <c r="AH9" s="46">
        <v>16</v>
      </c>
      <c r="AI9" s="7">
        <f t="shared" si="11"/>
        <v>2</v>
      </c>
      <c r="AJ9" s="7"/>
      <c r="AK9" s="50">
        <v>398500</v>
      </c>
      <c r="AL9" s="7" t="str">
        <f t="shared" si="12"/>
        <v>Henbediona</v>
      </c>
      <c r="AM9" s="7"/>
      <c r="AN9" s="51"/>
      <c r="AO9" s="7">
        <f t="shared" si="13"/>
        <v>0</v>
      </c>
      <c r="AP9" s="7"/>
    </row>
    <row r="10" spans="1:42" ht="27" customHeight="1">
      <c r="A10" s="1"/>
      <c r="B10" s="12">
        <v>6</v>
      </c>
      <c r="C10" s="33" t="s">
        <v>36</v>
      </c>
      <c r="D10" s="33" t="s">
        <v>33</v>
      </c>
      <c r="E10" s="32" t="s">
        <v>31</v>
      </c>
      <c r="F10" s="34"/>
      <c r="G10" s="34"/>
      <c r="H10" s="39"/>
      <c r="I10" s="52" t="s">
        <v>29</v>
      </c>
      <c r="J10" s="16"/>
      <c r="K10" s="48"/>
      <c r="L10" s="53"/>
      <c r="M10" s="36">
        <v>23</v>
      </c>
      <c r="N10" s="49">
        <v>79</v>
      </c>
      <c r="O10" s="34"/>
      <c r="P10" s="22">
        <f t="shared" si="0"/>
        <v>102</v>
      </c>
      <c r="Q10" s="23">
        <f>((data!$A$3/8)*L10)+((data!$B$3/8)*(M10+N10+O10))+(P10*$E$21)</f>
        <v>497250</v>
      </c>
      <c r="R10" s="23">
        <f t="shared" si="1"/>
        <v>0</v>
      </c>
      <c r="S10" s="23">
        <f t="shared" si="7"/>
        <v>12750</v>
      </c>
      <c r="T10" s="37">
        <f t="shared" si="2"/>
        <v>0</v>
      </c>
      <c r="U10" s="23">
        <f t="shared" si="3"/>
        <v>0</v>
      </c>
      <c r="V10" s="25">
        <f t="shared" si="4"/>
        <v>0</v>
      </c>
      <c r="W10" s="23">
        <f t="shared" si="5"/>
        <v>0</v>
      </c>
      <c r="X10" s="26">
        <v>800</v>
      </c>
      <c r="Y10" s="27">
        <f t="shared" si="6"/>
        <v>511000</v>
      </c>
      <c r="AD10" s="28">
        <f t="shared" si="8"/>
        <v>12.75</v>
      </c>
      <c r="AE10" s="7"/>
      <c r="AF10" s="7">
        <f t="shared" si="9"/>
        <v>12.75</v>
      </c>
      <c r="AG10" s="7">
        <f t="shared" si="10"/>
        <v>17.75</v>
      </c>
      <c r="AH10" s="46">
        <v>40</v>
      </c>
      <c r="AI10" s="7">
        <f t="shared" si="11"/>
        <v>5</v>
      </c>
      <c r="AK10" s="30">
        <v>1120500</v>
      </c>
      <c r="AL10" s="11" t="str">
        <f t="shared" si="12"/>
        <v>Iman</v>
      </c>
      <c r="AN10" s="31"/>
      <c r="AO10" s="11">
        <f t="shared" si="13"/>
        <v>0</v>
      </c>
    </row>
    <row r="11" spans="1:42" ht="25.5" customHeight="1">
      <c r="A11" s="1"/>
      <c r="B11" s="12">
        <v>7</v>
      </c>
      <c r="C11" s="33" t="s">
        <v>37</v>
      </c>
      <c r="D11" s="33" t="s">
        <v>26</v>
      </c>
      <c r="E11" s="32" t="s">
        <v>31</v>
      </c>
      <c r="F11" s="33" t="s">
        <v>38</v>
      </c>
      <c r="G11" s="34"/>
      <c r="H11" s="39"/>
      <c r="I11" s="17" t="s">
        <v>29</v>
      </c>
      <c r="J11" s="16"/>
      <c r="K11" s="48"/>
      <c r="L11" s="34"/>
      <c r="M11" s="42">
        <v>156</v>
      </c>
      <c r="N11" s="45">
        <v>2</v>
      </c>
      <c r="O11" s="34"/>
      <c r="P11" s="22">
        <f t="shared" si="0"/>
        <v>158</v>
      </c>
      <c r="Q11" s="23">
        <f>((data!$A$3/8)*L11)+((data!$B$3/8)*(M11+N11+O11))+(P11*$E$21)</f>
        <v>770250</v>
      </c>
      <c r="R11" s="23">
        <f t="shared" si="1"/>
        <v>0</v>
      </c>
      <c r="S11" s="23"/>
      <c r="T11" s="24">
        <f t="shared" si="2"/>
        <v>0</v>
      </c>
      <c r="U11" s="23">
        <f t="shared" si="3"/>
        <v>0</v>
      </c>
      <c r="V11" s="25">
        <f t="shared" si="4"/>
        <v>0</v>
      </c>
      <c r="W11" s="23">
        <f t="shared" si="5"/>
        <v>0</v>
      </c>
      <c r="X11" s="26">
        <v>4000</v>
      </c>
      <c r="Y11" s="27">
        <f t="shared" si="6"/>
        <v>774500</v>
      </c>
      <c r="AD11" s="28">
        <f t="shared" si="8"/>
        <v>19.75</v>
      </c>
      <c r="AE11" s="7"/>
      <c r="AF11" s="7">
        <f t="shared" si="9"/>
        <v>19.75</v>
      </c>
      <c r="AG11" s="7">
        <f t="shared" si="10"/>
        <v>19.75</v>
      </c>
      <c r="AH11" s="46"/>
      <c r="AI11" s="7">
        <f t="shared" si="11"/>
        <v>0</v>
      </c>
      <c r="AK11" s="30">
        <v>969000</v>
      </c>
      <c r="AL11" s="11" t="str">
        <f t="shared" si="12"/>
        <v>Rama</v>
      </c>
      <c r="AN11" s="31"/>
      <c r="AO11" s="11">
        <f t="shared" si="13"/>
        <v>0</v>
      </c>
    </row>
    <row r="12" spans="1:42" ht="25.5" customHeight="1">
      <c r="A12" s="1"/>
      <c r="B12" s="12">
        <v>8</v>
      </c>
      <c r="C12" s="32" t="s">
        <v>39</v>
      </c>
      <c r="D12" s="33" t="s">
        <v>3</v>
      </c>
      <c r="E12" s="32" t="s">
        <v>31</v>
      </c>
      <c r="F12" s="32" t="s">
        <v>38</v>
      </c>
      <c r="G12" s="33"/>
      <c r="H12" s="39"/>
      <c r="I12" s="54" t="s">
        <v>40</v>
      </c>
      <c r="J12" s="16"/>
      <c r="K12" s="48"/>
      <c r="L12" s="42">
        <v>205</v>
      </c>
      <c r="M12" s="42">
        <v>16</v>
      </c>
      <c r="N12" s="55"/>
      <c r="O12" s="34"/>
      <c r="P12" s="22">
        <f t="shared" si="0"/>
        <v>221</v>
      </c>
      <c r="Q12" s="23">
        <f>((data!$A$3/8)*L12)+((data!$B$3/8)*(M12+N12+O12))+(P12*$E$21)</f>
        <v>1103000</v>
      </c>
      <c r="R12" s="23">
        <f t="shared" si="1"/>
        <v>0</v>
      </c>
      <c r="S12" s="23"/>
      <c r="T12" s="37">
        <f t="shared" si="2"/>
        <v>0</v>
      </c>
      <c r="U12" s="23">
        <f t="shared" si="3"/>
        <v>82875</v>
      </c>
      <c r="V12" s="25">
        <f t="shared" si="4"/>
        <v>0</v>
      </c>
      <c r="W12" s="23">
        <f t="shared" si="5"/>
        <v>0</v>
      </c>
      <c r="X12" s="26">
        <v>400</v>
      </c>
      <c r="Y12" s="27">
        <f t="shared" si="6"/>
        <v>1186500</v>
      </c>
      <c r="AD12" s="28"/>
      <c r="AH12" s="56"/>
      <c r="AK12" s="30"/>
      <c r="AN12" s="31"/>
    </row>
    <row r="13" spans="1:42" ht="25.5" customHeight="1">
      <c r="A13" s="1"/>
      <c r="B13" s="12">
        <v>9</v>
      </c>
      <c r="C13" s="32" t="s">
        <v>41</v>
      </c>
      <c r="D13" s="57" t="s">
        <v>26</v>
      </c>
      <c r="E13" s="32" t="s">
        <v>31</v>
      </c>
      <c r="F13" s="33" t="s">
        <v>38</v>
      </c>
      <c r="G13" s="33">
        <v>1</v>
      </c>
      <c r="H13" s="39"/>
      <c r="I13" s="54" t="s">
        <v>40</v>
      </c>
      <c r="J13" s="16"/>
      <c r="K13" s="48"/>
      <c r="L13" s="45">
        <v>207</v>
      </c>
      <c r="M13" s="42">
        <v>4</v>
      </c>
      <c r="N13" s="34"/>
      <c r="O13" s="34"/>
      <c r="P13" s="22">
        <f t="shared" si="0"/>
        <v>211</v>
      </c>
      <c r="Q13" s="23">
        <f>((data!$A$3/8)*L13)+((data!$B$3/8)*(M13+N13+O13))+(P13*$E$21)</f>
        <v>1054500</v>
      </c>
      <c r="R13" s="23">
        <f t="shared" si="1"/>
        <v>0</v>
      </c>
      <c r="S13" s="23"/>
      <c r="T13" s="24">
        <f t="shared" si="2"/>
        <v>50000</v>
      </c>
      <c r="U13" s="23">
        <f t="shared" si="3"/>
        <v>0</v>
      </c>
      <c r="V13" s="25">
        <f t="shared" si="4"/>
        <v>0</v>
      </c>
      <c r="W13" s="23">
        <f t="shared" si="5"/>
        <v>0</v>
      </c>
      <c r="X13" s="26">
        <v>5600</v>
      </c>
      <c r="Y13" s="27">
        <f t="shared" si="6"/>
        <v>1110500</v>
      </c>
      <c r="AD13" s="28">
        <f>P13/8</f>
        <v>26.375</v>
      </c>
      <c r="AF13" s="11">
        <f>AD13-AE13</f>
        <v>26.375</v>
      </c>
      <c r="AG13" s="11">
        <f>AD13+AI13</f>
        <v>26.375</v>
      </c>
      <c r="AH13" s="56"/>
      <c r="AI13" s="11">
        <f>AH13/8</f>
        <v>0</v>
      </c>
      <c r="AK13" s="30">
        <v>756500</v>
      </c>
      <c r="AL13" s="11" t="str">
        <f t="shared" ref="AL13:AL14" si="14">C13</f>
        <v>Vio</v>
      </c>
      <c r="AN13" s="31"/>
      <c r="AO13" s="11">
        <f>AN13*AM13</f>
        <v>0</v>
      </c>
    </row>
    <row r="14" spans="1:42" ht="25.5" customHeight="1">
      <c r="A14" s="1"/>
      <c r="B14" s="58">
        <v>14</v>
      </c>
      <c r="C14" s="32" t="s">
        <v>42</v>
      </c>
      <c r="D14" s="33" t="s">
        <v>3</v>
      </c>
      <c r="E14" s="34"/>
      <c r="F14" s="34"/>
      <c r="G14" s="33">
        <v>1</v>
      </c>
      <c r="H14" s="59"/>
      <c r="I14" s="60"/>
      <c r="J14" s="59"/>
      <c r="K14" s="61"/>
      <c r="L14" s="34"/>
      <c r="M14" s="62">
        <v>110</v>
      </c>
      <c r="N14" s="62">
        <v>4</v>
      </c>
      <c r="O14" s="63">
        <v>80</v>
      </c>
      <c r="P14" s="22">
        <f t="shared" si="0"/>
        <v>194</v>
      </c>
      <c r="Q14" s="23">
        <f>((data!$A$3/8)*L14)+((data!$B$3/8)*(M14+N14+O14))+(P14*$E$21)</f>
        <v>945750</v>
      </c>
      <c r="R14" s="23">
        <f t="shared" si="1"/>
        <v>50000</v>
      </c>
      <c r="S14" s="23">
        <f>((P14/8)*1000)</f>
        <v>24250</v>
      </c>
      <c r="T14" s="37">
        <f t="shared" si="2"/>
        <v>50000</v>
      </c>
      <c r="U14" s="23">
        <f t="shared" si="3"/>
        <v>48500</v>
      </c>
      <c r="V14" s="25">
        <f t="shared" si="4"/>
        <v>0</v>
      </c>
      <c r="W14" s="23">
        <f t="shared" si="5"/>
        <v>0</v>
      </c>
      <c r="X14" s="64">
        <v>9200</v>
      </c>
      <c r="Y14" s="27">
        <f t="shared" si="6"/>
        <v>1128000</v>
      </c>
      <c r="AE14" s="11">
        <f>AD14+AI14</f>
        <v>0</v>
      </c>
      <c r="AK14" s="30">
        <v>0</v>
      </c>
      <c r="AL14" s="11" t="str">
        <f t="shared" si="14"/>
        <v>Yulika</v>
      </c>
    </row>
    <row r="15" spans="1:42" ht="25.5" customHeight="1">
      <c r="A15" s="1"/>
      <c r="B15" s="65"/>
      <c r="C15" s="66"/>
      <c r="D15" s="66"/>
      <c r="E15" s="67"/>
      <c r="F15" s="66"/>
      <c r="G15" s="68"/>
      <c r="H15" s="68"/>
      <c r="I15" s="68"/>
      <c r="J15" s="67">
        <f>SUM(J5:J13)</f>
        <v>0</v>
      </c>
      <c r="K15" s="69"/>
      <c r="L15" s="70">
        <f>SUM(L5:L13)</f>
        <v>480</v>
      </c>
      <c r="M15" s="70">
        <f t="shared" ref="M15:N15" si="15">SUM(M5:M14)</f>
        <v>471</v>
      </c>
      <c r="N15" s="70">
        <f t="shared" si="15"/>
        <v>448</v>
      </c>
      <c r="O15" s="70">
        <f>SUM(O5:O13)</f>
        <v>180</v>
      </c>
      <c r="P15" s="71">
        <f t="shared" si="0"/>
        <v>1579</v>
      </c>
      <c r="Q15" s="72">
        <f t="shared" ref="Q15:W15" si="16">SUM(Q5:Q13)</f>
        <v>7201875</v>
      </c>
      <c r="R15" s="72">
        <f t="shared" si="16"/>
        <v>150000</v>
      </c>
      <c r="S15" s="72">
        <f t="shared" si="16"/>
        <v>92250</v>
      </c>
      <c r="T15" s="72">
        <f t="shared" si="16"/>
        <v>150000</v>
      </c>
      <c r="U15" s="72">
        <f t="shared" si="16"/>
        <v>133375</v>
      </c>
      <c r="V15" s="73">
        <f t="shared" si="16"/>
        <v>0</v>
      </c>
      <c r="W15" s="72">
        <f t="shared" si="16"/>
        <v>0</v>
      </c>
      <c r="X15" s="72">
        <f>SUM(X5:X14)</f>
        <v>46200</v>
      </c>
      <c r="Y15" s="74">
        <f t="shared" si="6"/>
        <v>7774000</v>
      </c>
      <c r="AH15" s="11">
        <f t="shared" ref="AH15:AI15" si="17">SUM(AH5:AH13)</f>
        <v>144</v>
      </c>
      <c r="AI15" s="11">
        <f t="shared" si="17"/>
        <v>18</v>
      </c>
      <c r="AK15" s="75">
        <f>SUM(AK5:AK14)</f>
        <v>4919500</v>
      </c>
    </row>
    <row r="16" spans="1:42" ht="25.5" customHeight="1">
      <c r="A16" s="1"/>
      <c r="B16" s="76"/>
      <c r="C16" s="77"/>
      <c r="D16" s="77"/>
      <c r="E16" s="77"/>
      <c r="F16" s="77"/>
      <c r="G16" s="77"/>
      <c r="H16" s="77"/>
      <c r="I16" s="77"/>
      <c r="J16" s="77"/>
      <c r="K16" s="77"/>
      <c r="L16" s="145">
        <f>L15+M15+N15</f>
        <v>1399</v>
      </c>
      <c r="M16" s="143"/>
      <c r="N16" s="143"/>
      <c r="O16" s="78"/>
      <c r="P16" s="78"/>
      <c r="Q16" s="78"/>
      <c r="R16" s="78"/>
      <c r="S16" s="78"/>
      <c r="T16" s="78"/>
      <c r="U16" s="78"/>
      <c r="V16" s="78"/>
      <c r="W16" s="146">
        <f ca="1">NOW()</f>
        <v>46212.659424768521</v>
      </c>
      <c r="X16" s="143"/>
      <c r="Y16" s="78"/>
    </row>
    <row r="17" spans="1:25" ht="25.5" customHeight="1">
      <c r="A17" s="1"/>
      <c r="B17" s="76"/>
      <c r="C17" s="77"/>
      <c r="D17" s="77"/>
      <c r="E17" s="77"/>
      <c r="F17" s="77"/>
      <c r="G17" s="77"/>
      <c r="H17" s="77"/>
      <c r="I17" s="77"/>
      <c r="J17" s="77"/>
      <c r="K17" s="77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</row>
    <row r="18" spans="1:25" ht="25.5" customHeight="1">
      <c r="A18" s="1"/>
      <c r="B18" s="79"/>
      <c r="C18" s="79"/>
      <c r="D18" s="79"/>
      <c r="E18" s="80"/>
      <c r="F18" s="79"/>
      <c r="G18" s="79"/>
      <c r="H18" s="81"/>
      <c r="I18" s="82"/>
      <c r="J18" s="82"/>
      <c r="K18" s="76"/>
      <c r="L18" s="83">
        <f>SUM(L15:N15)</f>
        <v>1399</v>
      </c>
      <c r="M18" s="84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</row>
    <row r="19" spans="1:25" ht="25.5" customHeight="1">
      <c r="A19" s="1"/>
      <c r="B19" s="80"/>
      <c r="C19" s="80"/>
      <c r="D19" s="80"/>
      <c r="E19" s="80"/>
      <c r="F19" s="80"/>
      <c r="G19" s="80"/>
      <c r="H19" s="81"/>
      <c r="I19" s="81"/>
      <c r="J19" s="81"/>
      <c r="K19" s="82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</row>
    <row r="20" spans="1:25" ht="25.5" customHeight="1">
      <c r="A20" s="1"/>
      <c r="B20" s="86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</row>
    <row r="21" spans="1:25" ht="25.5" customHeight="1">
      <c r="A21" s="1"/>
      <c r="B21" s="87"/>
      <c r="C21" s="87" t="s">
        <v>43</v>
      </c>
      <c r="D21" s="87"/>
      <c r="E21" s="147">
        <f>IF(L16&gt;0,data!F3/L16)</f>
        <v>0</v>
      </c>
      <c r="F21" s="140"/>
      <c r="G21" s="80"/>
      <c r="H21" s="80"/>
      <c r="I21" s="80"/>
      <c r="J21" s="88" t="s">
        <v>44</v>
      </c>
      <c r="K21" s="88"/>
      <c r="L21" s="88"/>
      <c r="M21" s="88"/>
      <c r="N21" s="88"/>
      <c r="O21" s="88"/>
      <c r="P21" s="88"/>
      <c r="Q21" s="78"/>
      <c r="R21" s="78"/>
      <c r="S21" s="78"/>
      <c r="T21" s="78"/>
      <c r="U21" s="78"/>
      <c r="V21" s="78"/>
      <c r="W21" s="78"/>
      <c r="X21" s="81"/>
      <c r="Y21" s="81"/>
    </row>
    <row r="22" spans="1:25" ht="25.5" customHeight="1">
      <c r="A22" s="1"/>
      <c r="B22" s="89"/>
      <c r="C22" s="89"/>
      <c r="D22" s="89"/>
      <c r="E22" s="82"/>
      <c r="F22" s="82"/>
      <c r="G22" s="80"/>
      <c r="H22" s="80"/>
      <c r="I22" s="80"/>
      <c r="J22" s="80"/>
      <c r="K22" s="90"/>
      <c r="L22" s="90"/>
      <c r="M22" s="90"/>
      <c r="N22" s="90"/>
      <c r="O22" s="91"/>
      <c r="P22" s="91"/>
      <c r="Q22" s="78"/>
      <c r="R22" s="78"/>
      <c r="S22" s="78"/>
      <c r="T22" s="78"/>
      <c r="U22" s="78"/>
      <c r="V22" s="78"/>
      <c r="W22" s="78"/>
      <c r="X22" s="81"/>
      <c r="Y22" s="81"/>
    </row>
    <row r="23" spans="1:25" ht="25.5" customHeight="1">
      <c r="A23" s="1"/>
      <c r="B23" s="82"/>
      <c r="C23" s="82"/>
      <c r="D23" s="82"/>
      <c r="E23" s="82"/>
      <c r="F23" s="82"/>
      <c r="G23" s="80"/>
      <c r="H23" s="80"/>
      <c r="I23" s="80"/>
      <c r="J23" s="80"/>
      <c r="K23" s="91"/>
      <c r="L23" s="91"/>
      <c r="M23" s="91"/>
      <c r="N23" s="90"/>
      <c r="O23" s="91"/>
      <c r="P23" s="91"/>
      <c r="Q23" s="78"/>
      <c r="R23" s="78"/>
      <c r="S23" s="78"/>
      <c r="T23" s="78"/>
      <c r="U23" s="78"/>
      <c r="V23" s="78"/>
      <c r="W23" s="78"/>
      <c r="X23" s="81"/>
      <c r="Y23" s="81"/>
    </row>
    <row r="24" spans="1:25" ht="25.5" customHeight="1">
      <c r="A24" s="1"/>
      <c r="B24" s="138" t="s">
        <v>45</v>
      </c>
      <c r="C24" s="139"/>
      <c r="D24" s="139"/>
      <c r="E24" s="140"/>
      <c r="F24" s="92">
        <v>2</v>
      </c>
      <c r="G24" s="80"/>
      <c r="H24" s="80"/>
      <c r="I24" s="80"/>
      <c r="J24" s="148"/>
      <c r="K24" s="143"/>
      <c r="L24" s="143"/>
      <c r="M24" s="143"/>
      <c r="N24" s="143"/>
      <c r="O24" s="143"/>
      <c r="P24" s="143"/>
      <c r="Q24" s="78"/>
      <c r="R24" s="78"/>
      <c r="S24" s="78"/>
      <c r="T24" s="78"/>
      <c r="U24" s="78"/>
      <c r="V24" s="78"/>
      <c r="W24" s="78"/>
      <c r="X24" s="93">
        <f>1.5*data!A3</f>
        <v>60000</v>
      </c>
      <c r="Y24" s="94">
        <f t="shared" ref="Y24:Y25" si="18">X24/8</f>
        <v>7500</v>
      </c>
    </row>
    <row r="25" spans="1:25" ht="25.5" customHeight="1">
      <c r="A25" s="1"/>
      <c r="B25" s="138" t="s">
        <v>46</v>
      </c>
      <c r="C25" s="139"/>
      <c r="D25" s="139"/>
      <c r="E25" s="140"/>
      <c r="F25" s="95">
        <f>28*24*F24</f>
        <v>1344</v>
      </c>
      <c r="G25" s="96"/>
      <c r="H25" s="95"/>
      <c r="I25" s="96"/>
      <c r="J25" s="143"/>
      <c r="K25" s="143"/>
      <c r="L25" s="143"/>
      <c r="M25" s="143"/>
      <c r="N25" s="143"/>
      <c r="O25" s="143"/>
      <c r="P25" s="143"/>
      <c r="Q25" s="78"/>
      <c r="R25" s="78"/>
      <c r="S25" s="78"/>
      <c r="T25" s="78"/>
      <c r="U25" s="78"/>
      <c r="V25" s="78"/>
      <c r="W25" s="78"/>
      <c r="X25" s="93">
        <f>X24-data!A3</f>
        <v>20000</v>
      </c>
      <c r="Y25" s="94">
        <f t="shared" si="18"/>
        <v>2500</v>
      </c>
    </row>
    <row r="26" spans="1:25" ht="25.5" customHeight="1">
      <c r="A26" s="1"/>
      <c r="B26" s="138" t="s">
        <v>47</v>
      </c>
      <c r="C26" s="139"/>
      <c r="D26" s="139"/>
      <c r="E26" s="140"/>
      <c r="F26" s="95">
        <v>0</v>
      </c>
      <c r="G26" s="96"/>
      <c r="H26" s="96"/>
      <c r="I26" s="96"/>
      <c r="J26" s="96"/>
      <c r="K26" s="91"/>
      <c r="L26" s="97"/>
      <c r="M26" s="91"/>
      <c r="N26" s="90"/>
      <c r="O26" s="91"/>
      <c r="P26" s="98"/>
      <c r="Q26" s="78"/>
      <c r="R26" s="78"/>
      <c r="S26" s="78"/>
      <c r="T26" s="78"/>
      <c r="U26" s="78"/>
      <c r="V26" s="78"/>
      <c r="W26" s="78"/>
      <c r="X26" s="81"/>
      <c r="Y26" s="81"/>
    </row>
    <row r="27" spans="1:25" ht="25.5" customHeight="1">
      <c r="A27" s="1"/>
      <c r="B27" s="138" t="s">
        <v>48</v>
      </c>
      <c r="C27" s="139"/>
      <c r="D27" s="139"/>
      <c r="E27" s="140"/>
      <c r="F27" s="99">
        <f>F25-F26</f>
        <v>1344</v>
      </c>
      <c r="G27" s="100"/>
      <c r="H27" s="100"/>
      <c r="I27" s="100"/>
      <c r="J27" s="100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81"/>
      <c r="Y27" s="81"/>
    </row>
    <row r="28" spans="1:25" ht="25.5" customHeight="1">
      <c r="A28" s="1"/>
      <c r="B28" s="141" t="s">
        <v>49</v>
      </c>
      <c r="C28" s="139"/>
      <c r="D28" s="139"/>
      <c r="E28" s="140"/>
      <c r="F28" s="101">
        <f>P15</f>
        <v>1579</v>
      </c>
      <c r="G28" s="100"/>
      <c r="H28" s="100"/>
      <c r="I28" s="100"/>
      <c r="J28" s="100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85"/>
      <c r="Y28" s="85"/>
    </row>
    <row r="29" spans="1:25" ht="25.5" customHeight="1">
      <c r="A29" s="1"/>
      <c r="B29" s="141" t="s">
        <v>50</v>
      </c>
      <c r="C29" s="139"/>
      <c r="D29" s="139"/>
      <c r="E29" s="140"/>
      <c r="F29" s="102">
        <f>-(F27-F28)</f>
        <v>235</v>
      </c>
      <c r="G29" s="96"/>
      <c r="H29" s="96"/>
      <c r="I29" s="96"/>
      <c r="J29" s="100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6"/>
      <c r="Y29" s="82"/>
    </row>
    <row r="30" spans="1:25" ht="25.5" customHeight="1">
      <c r="Y30" s="103"/>
    </row>
    <row r="31" spans="1:25" ht="25.5" customHeight="1"/>
    <row r="32" spans="1:2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2">
    <mergeCell ref="B24:E24"/>
    <mergeCell ref="J24:P25"/>
    <mergeCell ref="B3:D3"/>
    <mergeCell ref="AH4:AI4"/>
    <mergeCell ref="L16:N16"/>
    <mergeCell ref="W16:X16"/>
    <mergeCell ref="E21:F21"/>
    <mergeCell ref="B25:E25"/>
    <mergeCell ref="B26:E26"/>
    <mergeCell ref="B27:E27"/>
    <mergeCell ref="B28:E28"/>
    <mergeCell ref="B29:E29"/>
  </mergeCells>
  <conditionalFormatting sqref="A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5:AD14">
    <cfRule type="cellIs" dxfId="1" priority="2" operator="greaterThan">
      <formula>26</formula>
    </cfRule>
    <cfRule type="cellIs" dxfId="0" priority="3" operator="lessThan">
      <formula>24</formula>
    </cfRule>
  </conditionalFormatting>
  <pageMargins left="0.25" right="0.25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5:J1000"/>
  <sheetViews>
    <sheetView showGridLines="0" workbookViewId="0"/>
  </sheetViews>
  <sheetFormatPr defaultColWidth="14.42578125" defaultRowHeight="15" customHeight="1"/>
  <cols>
    <col min="1" max="2" width="9" customWidth="1"/>
    <col min="3" max="3" width="3.42578125" customWidth="1"/>
    <col min="4" max="4" width="9.28515625" customWidth="1"/>
    <col min="5" max="5" width="17.42578125" customWidth="1"/>
    <col min="6" max="6" width="13" customWidth="1"/>
    <col min="7" max="7" width="18.42578125" customWidth="1"/>
    <col min="8" max="26" width="9" customWidth="1"/>
  </cols>
  <sheetData>
    <row r="5" spans="4:10">
      <c r="D5" s="149" t="s">
        <v>51</v>
      </c>
      <c r="E5" s="150"/>
      <c r="F5" s="150"/>
      <c r="G5" s="151"/>
    </row>
    <row r="6" spans="4:10">
      <c r="D6" s="104" t="s">
        <v>39</v>
      </c>
      <c r="E6" s="104" t="s">
        <v>52</v>
      </c>
      <c r="F6" s="104" t="s">
        <v>53</v>
      </c>
      <c r="G6" s="104"/>
      <c r="J6" s="105"/>
    </row>
    <row r="7" spans="4:10">
      <c r="D7" s="104" t="s">
        <v>36</v>
      </c>
      <c r="E7" s="104"/>
      <c r="F7" s="104"/>
      <c r="G7" s="104"/>
    </row>
    <row r="10" spans="4:10">
      <c r="D10" s="152"/>
      <c r="E10" s="143"/>
      <c r="F10" s="143"/>
      <c r="G10" s="143"/>
    </row>
    <row r="11" spans="4:10">
      <c r="D11" s="106"/>
      <c r="E11" s="106"/>
      <c r="F11" s="106"/>
      <c r="G11" s="106"/>
    </row>
    <row r="12" spans="4:10">
      <c r="D12" s="106"/>
      <c r="E12" s="106"/>
      <c r="F12" s="106"/>
      <c r="G12" s="106"/>
    </row>
    <row r="15" spans="4:10">
      <c r="D15" s="104" t="s">
        <v>54</v>
      </c>
      <c r="E15" s="104" t="s">
        <v>55</v>
      </c>
    </row>
    <row r="16" spans="4:10">
      <c r="D16" s="104" t="s">
        <v>42</v>
      </c>
      <c r="E16" s="107" t="s">
        <v>56</v>
      </c>
    </row>
    <row r="17" spans="4:5">
      <c r="D17" s="104" t="s">
        <v>34</v>
      </c>
      <c r="E17" s="107" t="s">
        <v>57</v>
      </c>
    </row>
    <row r="18" spans="4:5">
      <c r="D18" s="104" t="s">
        <v>58</v>
      </c>
      <c r="E18" s="107">
        <v>45554</v>
      </c>
    </row>
    <row r="19" spans="4:5">
      <c r="D19" s="104" t="s">
        <v>39</v>
      </c>
      <c r="E19" s="107" t="s">
        <v>59</v>
      </c>
    </row>
    <row r="20" spans="4:5">
      <c r="D20" s="104" t="s">
        <v>36</v>
      </c>
      <c r="E20" s="107">
        <v>45923</v>
      </c>
    </row>
    <row r="21" spans="4:5" ht="15.75" customHeight="1"/>
    <row r="22" spans="4:5" ht="15.75" customHeight="1"/>
    <row r="23" spans="4:5" ht="15.75" customHeight="1"/>
    <row r="24" spans="4:5" ht="15.75" customHeight="1"/>
    <row r="25" spans="4:5" ht="15.75" customHeight="1"/>
    <row r="26" spans="4:5" ht="15.75" customHeight="1"/>
    <row r="27" spans="4:5" ht="15.75" customHeight="1"/>
    <row r="28" spans="4:5" ht="15.75" customHeight="1"/>
    <row r="29" spans="4:5" ht="15.75" customHeight="1"/>
    <row r="30" spans="4:5" ht="15.75" customHeight="1"/>
    <row r="31" spans="4:5" ht="15.75" customHeight="1"/>
    <row r="32" spans="4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D5:G5"/>
    <mergeCell ref="D10:G10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AA1000"/>
  <sheetViews>
    <sheetView workbookViewId="0"/>
  </sheetViews>
  <sheetFormatPr defaultColWidth="14.42578125" defaultRowHeight="15" customHeight="1"/>
  <cols>
    <col min="1" max="1" width="9" customWidth="1"/>
    <col min="2" max="2" width="4.85546875" customWidth="1"/>
    <col min="3" max="3" width="10.42578125" customWidth="1"/>
    <col min="4" max="6" width="9" customWidth="1"/>
    <col min="7" max="7" width="9.28515625" customWidth="1"/>
    <col min="8" max="11" width="9" customWidth="1"/>
    <col min="12" max="12" width="9.28515625" customWidth="1"/>
    <col min="13" max="13" width="10.5703125" customWidth="1"/>
    <col min="14" max="14" width="9.28515625" customWidth="1"/>
    <col min="15" max="15" width="10.5703125" customWidth="1"/>
    <col min="16" max="16" width="9.28515625" customWidth="1"/>
    <col min="17" max="17" width="10.5703125" customWidth="1"/>
    <col min="18" max="19" width="9.28515625" customWidth="1"/>
    <col min="20" max="22" width="13" customWidth="1"/>
    <col min="23" max="23" width="11.140625" customWidth="1"/>
    <col min="24" max="26" width="11" customWidth="1"/>
    <col min="27" max="27" width="9.28515625" customWidth="1"/>
  </cols>
  <sheetData>
    <row r="4" spans="2:27" ht="33.75">
      <c r="B4" s="108" t="s">
        <v>1</v>
      </c>
      <c r="C4" s="108" t="s">
        <v>2</v>
      </c>
      <c r="D4" s="109" t="s">
        <v>3</v>
      </c>
      <c r="E4" s="108" t="s">
        <v>4</v>
      </c>
      <c r="F4" s="108" t="s">
        <v>5</v>
      </c>
      <c r="G4" s="108" t="s">
        <v>6</v>
      </c>
      <c r="H4" s="108" t="s">
        <v>7</v>
      </c>
      <c r="I4" s="108" t="s">
        <v>8</v>
      </c>
      <c r="J4" s="108" t="s">
        <v>9</v>
      </c>
      <c r="K4" s="108" t="s">
        <v>10</v>
      </c>
      <c r="L4" s="108" t="s">
        <v>11</v>
      </c>
      <c r="M4" s="108" t="s">
        <v>12</v>
      </c>
      <c r="N4" s="108" t="s">
        <v>13</v>
      </c>
      <c r="O4" s="108" t="s">
        <v>14</v>
      </c>
      <c r="P4" s="108" t="s">
        <v>15</v>
      </c>
      <c r="Q4" s="108" t="s">
        <v>16</v>
      </c>
      <c r="R4" s="108" t="s">
        <v>60</v>
      </c>
      <c r="S4" s="108" t="s">
        <v>61</v>
      </c>
      <c r="T4" s="108" t="s">
        <v>4</v>
      </c>
      <c r="U4" s="108" t="s">
        <v>5</v>
      </c>
      <c r="V4" s="108" t="s">
        <v>6</v>
      </c>
      <c r="W4" s="108" t="s">
        <v>17</v>
      </c>
      <c r="X4" s="108" t="s">
        <v>18</v>
      </c>
      <c r="Y4" s="108" t="s">
        <v>19</v>
      </c>
      <c r="Z4" s="108" t="s">
        <v>20</v>
      </c>
      <c r="AA4" s="108" t="s">
        <v>21</v>
      </c>
    </row>
    <row r="5" spans="2:27">
      <c r="B5" s="110">
        <v>1</v>
      </c>
      <c r="C5" s="111" t="s">
        <v>62</v>
      </c>
      <c r="D5" s="111" t="s">
        <v>3</v>
      </c>
      <c r="E5" s="110" t="s">
        <v>63</v>
      </c>
      <c r="F5" s="112"/>
      <c r="G5" s="110">
        <v>1</v>
      </c>
      <c r="H5" s="110"/>
      <c r="I5" s="113" t="s">
        <v>29</v>
      </c>
      <c r="J5" s="110"/>
      <c r="K5" s="110"/>
      <c r="L5" s="114">
        <v>32</v>
      </c>
      <c r="M5" s="114">
        <v>10</v>
      </c>
      <c r="N5" s="114">
        <v>152</v>
      </c>
      <c r="O5" s="114">
        <v>0</v>
      </c>
      <c r="P5" s="114">
        <v>194</v>
      </c>
      <c r="Q5" s="114">
        <v>766267.02508960594</v>
      </c>
      <c r="R5" s="114">
        <f t="shared" ref="R5:R17" si="0">Q5/P5</f>
        <v>3949.8300262350822</v>
      </c>
      <c r="S5" s="114">
        <f t="shared" ref="S5:S17" si="1">R5*8</f>
        <v>31598.640209880657</v>
      </c>
      <c r="T5" s="114">
        <v>0</v>
      </c>
      <c r="U5" s="114">
        <v>24250</v>
      </c>
      <c r="V5" s="114">
        <v>50000</v>
      </c>
      <c r="W5" s="114">
        <v>0</v>
      </c>
      <c r="X5" s="114">
        <v>0</v>
      </c>
      <c r="Y5" s="114">
        <v>0</v>
      </c>
      <c r="Z5" s="114">
        <v>2000</v>
      </c>
      <c r="AA5" s="114">
        <v>843000</v>
      </c>
    </row>
    <row r="6" spans="2:27">
      <c r="B6" s="115">
        <v>2</v>
      </c>
      <c r="C6" s="116" t="s">
        <v>36</v>
      </c>
      <c r="D6" s="117" t="s">
        <v>33</v>
      </c>
      <c r="E6" s="118" t="s">
        <v>27</v>
      </c>
      <c r="F6" s="117"/>
      <c r="G6" s="118"/>
      <c r="H6" s="118"/>
      <c r="I6" s="118" t="s">
        <v>29</v>
      </c>
      <c r="J6" s="115"/>
      <c r="K6" s="118"/>
      <c r="L6" s="119">
        <v>16</v>
      </c>
      <c r="M6" s="119">
        <v>59</v>
      </c>
      <c r="N6" s="119">
        <v>40</v>
      </c>
      <c r="O6" s="120">
        <v>0</v>
      </c>
      <c r="P6" s="119">
        <v>115</v>
      </c>
      <c r="Q6" s="114">
        <v>453859.318996416</v>
      </c>
      <c r="R6" s="114">
        <f t="shared" si="0"/>
        <v>3946.6027738818784</v>
      </c>
      <c r="S6" s="114">
        <f t="shared" si="1"/>
        <v>31572.822191055027</v>
      </c>
      <c r="T6" s="119">
        <v>0</v>
      </c>
      <c r="U6" s="114">
        <v>14375</v>
      </c>
      <c r="V6" s="119">
        <v>0</v>
      </c>
      <c r="W6" s="119">
        <v>0</v>
      </c>
      <c r="X6" s="119">
        <v>0</v>
      </c>
      <c r="Y6" s="119">
        <v>90000</v>
      </c>
      <c r="Z6" s="119">
        <v>0</v>
      </c>
      <c r="AA6" s="119">
        <v>558500</v>
      </c>
    </row>
    <row r="7" spans="2:27">
      <c r="B7" s="110">
        <v>3</v>
      </c>
      <c r="C7" s="112" t="s">
        <v>64</v>
      </c>
      <c r="D7" s="111" t="s">
        <v>3</v>
      </c>
      <c r="E7" s="113"/>
      <c r="F7" s="111"/>
      <c r="G7" s="113">
        <v>2</v>
      </c>
      <c r="H7" s="113" t="s">
        <v>65</v>
      </c>
      <c r="I7" s="121" t="s">
        <v>40</v>
      </c>
      <c r="J7" s="110"/>
      <c r="K7" s="113" t="s">
        <v>65</v>
      </c>
      <c r="L7" s="122">
        <v>202</v>
      </c>
      <c r="M7" s="122">
        <v>6</v>
      </c>
      <c r="N7" s="122">
        <v>8</v>
      </c>
      <c r="O7" s="122">
        <v>0</v>
      </c>
      <c r="P7" s="114">
        <v>216</v>
      </c>
      <c r="Q7" s="114">
        <v>873959.67741935502</v>
      </c>
      <c r="R7" s="114">
        <f t="shared" si="0"/>
        <v>4046.1096176821993</v>
      </c>
      <c r="S7" s="114">
        <f t="shared" si="1"/>
        <v>32368.876941457595</v>
      </c>
      <c r="T7" s="114">
        <v>100000</v>
      </c>
      <c r="U7" s="114">
        <v>27000</v>
      </c>
      <c r="V7" s="114">
        <v>100000</v>
      </c>
      <c r="W7" s="114">
        <v>81000</v>
      </c>
      <c r="X7" s="114">
        <v>0</v>
      </c>
      <c r="Y7" s="114">
        <v>50000</v>
      </c>
      <c r="Z7" s="114">
        <v>1500</v>
      </c>
      <c r="AA7" s="114">
        <v>1233500</v>
      </c>
    </row>
    <row r="8" spans="2:27">
      <c r="B8" s="110">
        <v>4</v>
      </c>
      <c r="C8" s="111" t="s">
        <v>66</v>
      </c>
      <c r="D8" s="111" t="s">
        <v>33</v>
      </c>
      <c r="E8" s="110" t="s">
        <v>63</v>
      </c>
      <c r="F8" s="111"/>
      <c r="G8" s="113"/>
      <c r="H8" s="113"/>
      <c r="I8" s="113"/>
      <c r="J8" s="110"/>
      <c r="K8" s="113"/>
      <c r="L8" s="122">
        <v>0</v>
      </c>
      <c r="M8" s="122">
        <v>136</v>
      </c>
      <c r="N8" s="122">
        <v>72</v>
      </c>
      <c r="O8" s="122">
        <v>0</v>
      </c>
      <c r="P8" s="114">
        <v>208</v>
      </c>
      <c r="Q8" s="114">
        <v>817275.98566308198</v>
      </c>
      <c r="R8" s="114">
        <f t="shared" si="0"/>
        <v>3929.2114695340479</v>
      </c>
      <c r="S8" s="114">
        <f t="shared" si="1"/>
        <v>31433.691756272383</v>
      </c>
      <c r="T8" s="114">
        <v>0</v>
      </c>
      <c r="U8" s="114">
        <v>26000</v>
      </c>
      <c r="V8" s="114">
        <v>0</v>
      </c>
      <c r="W8" s="114">
        <v>0</v>
      </c>
      <c r="X8" s="114">
        <v>0</v>
      </c>
      <c r="Y8" s="114">
        <v>0</v>
      </c>
      <c r="Z8" s="114">
        <v>0</v>
      </c>
      <c r="AA8" s="114">
        <v>843500</v>
      </c>
    </row>
    <row r="9" spans="2:27">
      <c r="B9" s="123">
        <v>5</v>
      </c>
      <c r="C9" s="124" t="s">
        <v>67</v>
      </c>
      <c r="D9" s="124" t="s">
        <v>3</v>
      </c>
      <c r="E9" s="123"/>
      <c r="F9" s="124"/>
      <c r="G9" s="125">
        <v>1</v>
      </c>
      <c r="H9" s="125" t="s">
        <v>65</v>
      </c>
      <c r="I9" s="125" t="s">
        <v>40</v>
      </c>
      <c r="J9" s="123"/>
      <c r="K9" s="125" t="s">
        <v>65</v>
      </c>
      <c r="L9" s="126">
        <v>4</v>
      </c>
      <c r="M9" s="126">
        <v>0</v>
      </c>
      <c r="N9" s="126">
        <v>109</v>
      </c>
      <c r="O9" s="126">
        <v>0</v>
      </c>
      <c r="P9" s="127">
        <v>113</v>
      </c>
      <c r="Q9" s="114">
        <v>444500.896057348</v>
      </c>
      <c r="R9" s="114">
        <f t="shared" si="0"/>
        <v>3933.6362482951149</v>
      </c>
      <c r="S9" s="114">
        <f t="shared" si="1"/>
        <v>31469.089986360919</v>
      </c>
      <c r="T9" s="127">
        <v>100000</v>
      </c>
      <c r="U9" s="114">
        <v>14125</v>
      </c>
      <c r="V9" s="127">
        <v>50000</v>
      </c>
      <c r="W9" s="127">
        <v>42375</v>
      </c>
      <c r="X9" s="127">
        <v>0</v>
      </c>
      <c r="Y9" s="127">
        <v>50000</v>
      </c>
      <c r="Z9" s="127">
        <v>841000</v>
      </c>
      <c r="AA9" s="127">
        <v>1542500</v>
      </c>
    </row>
    <row r="10" spans="2:27">
      <c r="B10" s="123">
        <v>6</v>
      </c>
      <c r="C10" s="128" t="s">
        <v>35</v>
      </c>
      <c r="D10" s="124" t="s">
        <v>3</v>
      </c>
      <c r="E10" s="125"/>
      <c r="F10" s="124"/>
      <c r="G10" s="125">
        <v>4</v>
      </c>
      <c r="H10" s="125" t="s">
        <v>65</v>
      </c>
      <c r="I10" s="125" t="s">
        <v>40</v>
      </c>
      <c r="J10" s="123"/>
      <c r="K10" s="125" t="s">
        <v>65</v>
      </c>
      <c r="L10" s="126">
        <v>0</v>
      </c>
      <c r="M10" s="126">
        <v>84</v>
      </c>
      <c r="N10" s="126">
        <v>2</v>
      </c>
      <c r="O10" s="126">
        <v>0</v>
      </c>
      <c r="P10" s="127">
        <v>86</v>
      </c>
      <c r="Q10" s="114">
        <v>337912.18637992803</v>
      </c>
      <c r="R10" s="114">
        <f t="shared" si="0"/>
        <v>3929.211469534047</v>
      </c>
      <c r="S10" s="114">
        <f t="shared" si="1"/>
        <v>31433.691756272376</v>
      </c>
      <c r="T10" s="127">
        <v>50000</v>
      </c>
      <c r="U10" s="114">
        <v>10750</v>
      </c>
      <c r="V10" s="127">
        <v>200000</v>
      </c>
      <c r="W10" s="127">
        <v>32250</v>
      </c>
      <c r="X10" s="127">
        <v>0</v>
      </c>
      <c r="Y10" s="127">
        <v>50000</v>
      </c>
      <c r="Z10" s="127">
        <v>847000</v>
      </c>
      <c r="AA10" s="127">
        <v>1528000</v>
      </c>
    </row>
    <row r="11" spans="2:27">
      <c r="B11" s="123">
        <v>7</v>
      </c>
      <c r="C11" s="128" t="s">
        <v>68</v>
      </c>
      <c r="D11" s="124" t="s">
        <v>3</v>
      </c>
      <c r="E11" s="123" t="s">
        <v>27</v>
      </c>
      <c r="F11" s="125"/>
      <c r="G11" s="125">
        <v>1</v>
      </c>
      <c r="H11" s="125"/>
      <c r="I11" s="125" t="s">
        <v>29</v>
      </c>
      <c r="J11" s="123"/>
      <c r="K11" s="125"/>
      <c r="L11" s="126">
        <v>0</v>
      </c>
      <c r="M11" s="126">
        <v>134</v>
      </c>
      <c r="N11" s="126">
        <v>11</v>
      </c>
      <c r="O11" s="126">
        <v>0</v>
      </c>
      <c r="P11" s="127">
        <v>145</v>
      </c>
      <c r="Q11" s="127">
        <v>569735.66308243701</v>
      </c>
      <c r="R11" s="114">
        <f t="shared" si="0"/>
        <v>3929.2114695340483</v>
      </c>
      <c r="S11" s="114">
        <f t="shared" si="1"/>
        <v>31433.691756272387</v>
      </c>
      <c r="T11" s="127">
        <v>0</v>
      </c>
      <c r="U11" s="127">
        <v>18125</v>
      </c>
      <c r="V11" s="127">
        <v>50000</v>
      </c>
      <c r="W11" s="127">
        <v>0</v>
      </c>
      <c r="X11" s="127">
        <v>0</v>
      </c>
      <c r="Y11" s="127">
        <v>0</v>
      </c>
      <c r="Z11" s="127">
        <v>196000</v>
      </c>
      <c r="AA11" s="127">
        <v>834000</v>
      </c>
    </row>
    <row r="12" spans="2:27">
      <c r="B12" s="123">
        <v>8</v>
      </c>
      <c r="C12" s="128" t="s">
        <v>69</v>
      </c>
      <c r="D12" s="124" t="s">
        <v>3</v>
      </c>
      <c r="E12" s="123"/>
      <c r="F12" s="124"/>
      <c r="G12" s="125">
        <v>1</v>
      </c>
      <c r="H12" s="125" t="s">
        <v>65</v>
      </c>
      <c r="I12" s="125"/>
      <c r="J12" s="123"/>
      <c r="K12" s="125"/>
      <c r="L12" s="126">
        <v>41</v>
      </c>
      <c r="M12" s="126">
        <v>8</v>
      </c>
      <c r="N12" s="126">
        <v>135</v>
      </c>
      <c r="O12" s="126">
        <v>0</v>
      </c>
      <c r="P12" s="127">
        <v>184</v>
      </c>
      <c r="Q12" s="127">
        <v>728099.91039426497</v>
      </c>
      <c r="R12" s="114">
        <f t="shared" si="0"/>
        <v>3957.0647304036138</v>
      </c>
      <c r="S12" s="114">
        <f t="shared" si="1"/>
        <v>31656.51784322891</v>
      </c>
      <c r="T12" s="127">
        <v>100000</v>
      </c>
      <c r="U12" s="127">
        <v>23000</v>
      </c>
      <c r="V12" s="127">
        <v>50000</v>
      </c>
      <c r="W12" s="127">
        <v>46000</v>
      </c>
      <c r="X12" s="127">
        <v>0</v>
      </c>
      <c r="Y12" s="127">
        <v>0</v>
      </c>
      <c r="Z12" s="127">
        <v>122500</v>
      </c>
      <c r="AA12" s="127">
        <v>1070000</v>
      </c>
    </row>
    <row r="13" spans="2:27">
      <c r="B13" s="110">
        <v>9</v>
      </c>
      <c r="C13" s="112" t="s">
        <v>39</v>
      </c>
      <c r="D13" s="111" t="s">
        <v>3</v>
      </c>
      <c r="E13" s="110"/>
      <c r="F13" s="111"/>
      <c r="G13" s="113">
        <v>1</v>
      </c>
      <c r="H13" s="113"/>
      <c r="I13" s="113" t="s">
        <v>40</v>
      </c>
      <c r="J13" s="110"/>
      <c r="K13" s="113"/>
      <c r="L13" s="122">
        <v>0</v>
      </c>
      <c r="M13" s="122">
        <v>216</v>
      </c>
      <c r="N13" s="122">
        <v>14</v>
      </c>
      <c r="O13" s="122">
        <v>0</v>
      </c>
      <c r="P13" s="114">
        <v>230</v>
      </c>
      <c r="Q13" s="114">
        <v>903718.63799283199</v>
      </c>
      <c r="R13" s="114">
        <f t="shared" si="0"/>
        <v>3929.211469534052</v>
      </c>
      <c r="S13" s="114">
        <f t="shared" si="1"/>
        <v>31433.691756272416</v>
      </c>
      <c r="T13" s="114">
        <v>50000</v>
      </c>
      <c r="U13" s="114">
        <v>28750</v>
      </c>
      <c r="V13" s="114">
        <v>50000</v>
      </c>
      <c r="W13" s="114">
        <v>86250</v>
      </c>
      <c r="X13" s="114">
        <v>0</v>
      </c>
      <c r="Y13" s="114">
        <v>0</v>
      </c>
      <c r="Z13" s="114">
        <v>3000</v>
      </c>
      <c r="AA13" s="114">
        <v>1122000</v>
      </c>
    </row>
    <row r="14" spans="2:27">
      <c r="B14" s="110">
        <v>10</v>
      </c>
      <c r="C14" s="112" t="s">
        <v>70</v>
      </c>
      <c r="D14" s="111" t="s">
        <v>3</v>
      </c>
      <c r="E14" s="113"/>
      <c r="F14" s="111"/>
      <c r="G14" s="113">
        <v>1</v>
      </c>
      <c r="H14" s="113"/>
      <c r="I14" s="113" t="s">
        <v>40</v>
      </c>
      <c r="J14" s="110"/>
      <c r="K14" s="113" t="s">
        <v>65</v>
      </c>
      <c r="L14" s="122">
        <v>232</v>
      </c>
      <c r="M14" s="122">
        <v>22</v>
      </c>
      <c r="N14" s="122">
        <v>0</v>
      </c>
      <c r="O14" s="122">
        <v>0</v>
      </c>
      <c r="P14" s="114">
        <v>254</v>
      </c>
      <c r="Q14" s="114">
        <v>1027019.7132616499</v>
      </c>
      <c r="R14" s="114">
        <f t="shared" si="0"/>
        <v>4043.3846978805118</v>
      </c>
      <c r="S14" s="114">
        <f t="shared" si="1"/>
        <v>32347.077583044094</v>
      </c>
      <c r="T14" s="114">
        <v>50000</v>
      </c>
      <c r="U14" s="114">
        <v>31750</v>
      </c>
      <c r="V14" s="114">
        <v>50000</v>
      </c>
      <c r="W14" s="114">
        <v>95250</v>
      </c>
      <c r="X14" s="114">
        <v>0</v>
      </c>
      <c r="Y14" s="114">
        <v>50000</v>
      </c>
      <c r="Z14" s="114">
        <v>0</v>
      </c>
      <c r="AA14" s="114">
        <v>1304500</v>
      </c>
    </row>
    <row r="15" spans="2:27">
      <c r="B15" s="110">
        <v>11</v>
      </c>
      <c r="C15" s="112" t="s">
        <v>71</v>
      </c>
      <c r="D15" s="111" t="s">
        <v>3</v>
      </c>
      <c r="E15" s="110" t="s">
        <v>27</v>
      </c>
      <c r="F15" s="111"/>
      <c r="G15" s="113">
        <v>1</v>
      </c>
      <c r="H15" s="113"/>
      <c r="I15" s="113"/>
      <c r="J15" s="110"/>
      <c r="K15" s="113"/>
      <c r="L15" s="122">
        <v>205</v>
      </c>
      <c r="M15" s="122">
        <v>4</v>
      </c>
      <c r="N15" s="122">
        <v>1</v>
      </c>
      <c r="O15" s="122">
        <v>0</v>
      </c>
      <c r="P15" s="114">
        <v>210</v>
      </c>
      <c r="Q15" s="114">
        <v>850759.40860215097</v>
      </c>
      <c r="R15" s="114">
        <f t="shared" si="0"/>
        <v>4051.2352790578616</v>
      </c>
      <c r="S15" s="114">
        <f t="shared" si="1"/>
        <v>32409.882232462893</v>
      </c>
      <c r="T15" s="114">
        <v>0</v>
      </c>
      <c r="U15" s="114">
        <v>26250</v>
      </c>
      <c r="V15" s="114">
        <v>50000</v>
      </c>
      <c r="W15" s="114">
        <v>52500</v>
      </c>
      <c r="X15" s="114">
        <v>0</v>
      </c>
      <c r="Y15" s="114">
        <v>0</v>
      </c>
      <c r="Z15" s="114">
        <v>3000</v>
      </c>
      <c r="AA15" s="114">
        <v>983000</v>
      </c>
    </row>
    <row r="16" spans="2:27">
      <c r="B16" s="110">
        <v>12</v>
      </c>
      <c r="C16" s="112" t="s">
        <v>30</v>
      </c>
      <c r="D16" s="111" t="s">
        <v>33</v>
      </c>
      <c r="E16" s="110" t="s">
        <v>27</v>
      </c>
      <c r="F16" s="129"/>
      <c r="G16" s="129"/>
      <c r="H16" s="129"/>
      <c r="I16" s="113"/>
      <c r="J16" s="129"/>
      <c r="K16" s="129"/>
      <c r="L16" s="122">
        <v>4</v>
      </c>
      <c r="M16" s="122">
        <v>32</v>
      </c>
      <c r="N16" s="122">
        <v>170</v>
      </c>
      <c r="O16" s="122">
        <v>0</v>
      </c>
      <c r="P16" s="114">
        <v>206</v>
      </c>
      <c r="Q16" s="114">
        <v>809917.56272401405</v>
      </c>
      <c r="R16" s="114">
        <f t="shared" si="0"/>
        <v>3931.6386540000681</v>
      </c>
      <c r="S16" s="114">
        <f t="shared" si="1"/>
        <v>31453.109232000545</v>
      </c>
      <c r="T16" s="114">
        <v>0</v>
      </c>
      <c r="U16" s="114">
        <v>25750</v>
      </c>
      <c r="V16" s="114">
        <v>0</v>
      </c>
      <c r="W16" s="114">
        <v>0</v>
      </c>
      <c r="X16" s="114">
        <v>0</v>
      </c>
      <c r="Y16" s="114">
        <v>0</v>
      </c>
      <c r="Z16" s="114">
        <v>1000</v>
      </c>
      <c r="AA16" s="114">
        <v>837000</v>
      </c>
    </row>
    <row r="17" spans="2:27">
      <c r="B17" s="110">
        <v>13</v>
      </c>
      <c r="C17" s="112" t="s">
        <v>72</v>
      </c>
      <c r="D17" s="111" t="s">
        <v>33</v>
      </c>
      <c r="E17" s="110" t="s">
        <v>27</v>
      </c>
      <c r="F17" s="129"/>
      <c r="G17" s="129"/>
      <c r="H17" s="129"/>
      <c r="I17" s="113" t="s">
        <v>29</v>
      </c>
      <c r="J17" s="129"/>
      <c r="K17" s="129"/>
      <c r="L17" s="122">
        <v>8</v>
      </c>
      <c r="M17" s="122">
        <v>33</v>
      </c>
      <c r="N17" s="122">
        <v>30</v>
      </c>
      <c r="O17" s="122">
        <v>0</v>
      </c>
      <c r="P17" s="114">
        <v>71</v>
      </c>
      <c r="Q17" s="114">
        <v>279974.01433691802</v>
      </c>
      <c r="R17" s="114">
        <f t="shared" si="0"/>
        <v>3943.2959765763103</v>
      </c>
      <c r="S17" s="114">
        <f t="shared" si="1"/>
        <v>31546.367812610482</v>
      </c>
      <c r="T17" s="114">
        <v>0</v>
      </c>
      <c r="U17" s="114">
        <v>8875</v>
      </c>
      <c r="V17" s="114">
        <v>0</v>
      </c>
      <c r="W17" s="114">
        <v>0</v>
      </c>
      <c r="X17" s="114">
        <v>0</v>
      </c>
      <c r="Y17" s="114">
        <v>0</v>
      </c>
      <c r="Z17" s="114">
        <v>0</v>
      </c>
      <c r="AA17" s="114">
        <v>289000</v>
      </c>
    </row>
    <row r="18" spans="2:27">
      <c r="B18" s="108"/>
      <c r="C18" s="130"/>
      <c r="D18" s="130"/>
      <c r="E18" s="108"/>
      <c r="F18" s="130"/>
      <c r="G18" s="109"/>
      <c r="H18" s="109"/>
      <c r="I18" s="109"/>
      <c r="J18" s="108"/>
      <c r="K18" s="109"/>
      <c r="L18" s="131">
        <v>744</v>
      </c>
      <c r="M18" s="131">
        <v>744</v>
      </c>
      <c r="N18" s="131">
        <v>744</v>
      </c>
      <c r="O18" s="131">
        <v>0</v>
      </c>
      <c r="P18" s="131">
        <v>2232</v>
      </c>
      <c r="Q18" s="131">
        <v>8863000</v>
      </c>
      <c r="R18" s="131"/>
      <c r="S18" s="131"/>
      <c r="T18" s="131">
        <v>450000</v>
      </c>
      <c r="U18" s="131">
        <v>279000</v>
      </c>
      <c r="V18" s="131">
        <v>650000</v>
      </c>
      <c r="W18" s="131">
        <v>435625</v>
      </c>
      <c r="X18" s="131">
        <v>0</v>
      </c>
      <c r="Y18" s="131">
        <v>290000</v>
      </c>
      <c r="Z18" s="131">
        <v>2017000</v>
      </c>
      <c r="AA18" s="131">
        <v>12988500</v>
      </c>
    </row>
    <row r="21" spans="2:27" ht="15.75" customHeight="1">
      <c r="B21" s="103"/>
      <c r="C21" s="103"/>
      <c r="D21" s="103"/>
      <c r="E21" s="103"/>
      <c r="F21" s="103"/>
      <c r="G21" s="103"/>
      <c r="H21" s="103"/>
      <c r="I21" s="103"/>
      <c r="J21" s="103"/>
      <c r="K21" s="132" t="s">
        <v>73</v>
      </c>
      <c r="L21" s="132" t="s">
        <v>74</v>
      </c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</row>
    <row r="22" spans="2:27" ht="15.75" customHeight="1">
      <c r="B22" s="103"/>
      <c r="C22" s="103"/>
      <c r="D22" s="103"/>
      <c r="E22" s="103"/>
      <c r="F22" s="103"/>
      <c r="G22" s="103"/>
      <c r="H22" s="103"/>
      <c r="I22" s="103"/>
      <c r="J22" s="103"/>
      <c r="K22" s="103">
        <v>32000</v>
      </c>
      <c r="L22" s="103">
        <v>31000</v>
      </c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</row>
    <row r="23" spans="2:27" ht="15.75" customHeight="1">
      <c r="B23" s="108" t="s">
        <v>1</v>
      </c>
      <c r="C23" s="108" t="s">
        <v>2</v>
      </c>
      <c r="D23" s="109" t="s">
        <v>3</v>
      </c>
      <c r="E23" s="108" t="s">
        <v>27</v>
      </c>
      <c r="F23" s="108" t="s">
        <v>75</v>
      </c>
      <c r="G23" s="108" t="s">
        <v>76</v>
      </c>
      <c r="H23" s="108" t="s">
        <v>7</v>
      </c>
      <c r="I23" s="108" t="s">
        <v>8</v>
      </c>
      <c r="J23" s="108" t="s">
        <v>9</v>
      </c>
      <c r="K23" s="108" t="s">
        <v>10</v>
      </c>
      <c r="L23" s="108" t="s">
        <v>11</v>
      </c>
      <c r="M23" s="108" t="s">
        <v>77</v>
      </c>
      <c r="N23" s="108" t="s">
        <v>12</v>
      </c>
      <c r="O23" s="108"/>
      <c r="P23" s="108" t="s">
        <v>13</v>
      </c>
      <c r="Q23" s="108"/>
      <c r="R23" s="108" t="s">
        <v>14</v>
      </c>
      <c r="S23" s="108" t="s">
        <v>15</v>
      </c>
      <c r="T23" s="108" t="s">
        <v>16</v>
      </c>
      <c r="U23" s="108" t="s">
        <v>60</v>
      </c>
      <c r="V23" s="108" t="s">
        <v>61</v>
      </c>
      <c r="W23" s="108" t="s">
        <v>4</v>
      </c>
      <c r="X23" s="108" t="s">
        <v>5</v>
      </c>
      <c r="Y23" s="108" t="s">
        <v>6</v>
      </c>
    </row>
    <row r="24" spans="2:27" ht="15.75" customHeight="1">
      <c r="B24" s="110">
        <v>1</v>
      </c>
      <c r="C24" s="111" t="s">
        <v>62</v>
      </c>
      <c r="D24" s="133" t="s">
        <v>3</v>
      </c>
      <c r="E24" s="133">
        <v>4</v>
      </c>
      <c r="F24" s="133">
        <v>4</v>
      </c>
      <c r="G24" s="133">
        <v>2</v>
      </c>
      <c r="H24" s="133" t="s">
        <v>78</v>
      </c>
      <c r="I24" s="133"/>
      <c r="J24" s="133"/>
      <c r="K24" s="133"/>
      <c r="L24" s="133">
        <v>32</v>
      </c>
      <c r="M24" s="133">
        <f t="shared" ref="M24:M36" si="2">$K$22/8*L24</f>
        <v>128000</v>
      </c>
      <c r="N24" s="133">
        <v>10</v>
      </c>
      <c r="O24" s="133">
        <f t="shared" ref="O24:O36" si="3">$L$22/8*N24</f>
        <v>38750</v>
      </c>
      <c r="P24" s="133">
        <v>152</v>
      </c>
      <c r="Q24" s="133">
        <f t="shared" ref="Q24:Q36" si="4">$L$22/8*P24</f>
        <v>589000</v>
      </c>
      <c r="R24" s="133"/>
      <c r="S24" s="133">
        <f t="shared" ref="S24:T24" si="5">L24+N24+P24</f>
        <v>194</v>
      </c>
      <c r="T24" s="133">
        <f t="shared" si="5"/>
        <v>755750</v>
      </c>
      <c r="U24" s="133"/>
      <c r="V24" s="133"/>
      <c r="W24" s="133"/>
      <c r="X24" s="133"/>
      <c r="Y24" s="133"/>
    </row>
    <row r="25" spans="2:27" ht="15.75" customHeight="1">
      <c r="B25" s="115">
        <v>2</v>
      </c>
      <c r="C25" s="116" t="s">
        <v>36</v>
      </c>
      <c r="D25" s="133"/>
      <c r="E25" s="133"/>
      <c r="F25" s="133"/>
      <c r="G25" s="133"/>
      <c r="H25" s="133"/>
      <c r="I25" s="133"/>
      <c r="J25" s="133"/>
      <c r="K25" s="133"/>
      <c r="L25" s="119">
        <v>16</v>
      </c>
      <c r="M25" s="133">
        <f t="shared" si="2"/>
        <v>64000</v>
      </c>
      <c r="N25" s="119">
        <v>59</v>
      </c>
      <c r="O25" s="133">
        <f t="shared" si="3"/>
        <v>228625</v>
      </c>
      <c r="P25" s="119">
        <v>40</v>
      </c>
      <c r="Q25" s="133">
        <f t="shared" si="4"/>
        <v>155000</v>
      </c>
      <c r="R25" s="133"/>
      <c r="S25" s="133">
        <f t="shared" ref="S25:T25" si="6">L25+N25+P25</f>
        <v>115</v>
      </c>
      <c r="T25" s="133">
        <f t="shared" si="6"/>
        <v>447625</v>
      </c>
      <c r="U25" s="133"/>
      <c r="V25" s="133"/>
      <c r="W25" s="133"/>
      <c r="X25" s="133"/>
      <c r="Y25" s="133"/>
    </row>
    <row r="26" spans="2:27" ht="15.75" customHeight="1">
      <c r="B26" s="110">
        <v>3</v>
      </c>
      <c r="C26" s="112" t="s">
        <v>64</v>
      </c>
      <c r="D26" s="133"/>
      <c r="E26" s="133"/>
      <c r="F26" s="133"/>
      <c r="G26" s="133"/>
      <c r="H26" s="133"/>
      <c r="I26" s="133"/>
      <c r="J26" s="133"/>
      <c r="K26" s="133"/>
      <c r="L26" s="122">
        <v>202</v>
      </c>
      <c r="M26" s="133">
        <f t="shared" si="2"/>
        <v>808000</v>
      </c>
      <c r="N26" s="122">
        <v>6</v>
      </c>
      <c r="O26" s="133">
        <f t="shared" si="3"/>
        <v>23250</v>
      </c>
      <c r="P26" s="122">
        <v>8</v>
      </c>
      <c r="Q26" s="133">
        <f t="shared" si="4"/>
        <v>31000</v>
      </c>
      <c r="R26" s="133"/>
      <c r="S26" s="133">
        <f t="shared" ref="S26:T26" si="7">L26+N26+P26</f>
        <v>216</v>
      </c>
      <c r="T26" s="133">
        <f t="shared" si="7"/>
        <v>862250</v>
      </c>
      <c r="U26" s="133"/>
      <c r="V26" s="133"/>
      <c r="W26" s="133"/>
      <c r="X26" s="133"/>
      <c r="Y26" s="133"/>
    </row>
    <row r="27" spans="2:27" ht="15.75" customHeight="1">
      <c r="B27" s="110">
        <v>4</v>
      </c>
      <c r="C27" s="111" t="s">
        <v>66</v>
      </c>
      <c r="D27" s="133"/>
      <c r="E27" s="133"/>
      <c r="F27" s="133"/>
      <c r="G27" s="133"/>
      <c r="H27" s="133"/>
      <c r="I27" s="133"/>
      <c r="J27" s="133"/>
      <c r="K27" s="133"/>
      <c r="L27" s="122">
        <v>0</v>
      </c>
      <c r="M27" s="133">
        <f t="shared" si="2"/>
        <v>0</v>
      </c>
      <c r="N27" s="122">
        <v>136</v>
      </c>
      <c r="O27" s="133">
        <f t="shared" si="3"/>
        <v>527000</v>
      </c>
      <c r="P27" s="122">
        <v>72</v>
      </c>
      <c r="Q27" s="133">
        <f t="shared" si="4"/>
        <v>279000</v>
      </c>
      <c r="R27" s="133"/>
      <c r="S27" s="133">
        <f t="shared" ref="S27:T27" si="8">L27+N27+P27</f>
        <v>208</v>
      </c>
      <c r="T27" s="133">
        <f t="shared" si="8"/>
        <v>806000</v>
      </c>
      <c r="U27" s="133"/>
      <c r="V27" s="133"/>
      <c r="W27" s="133"/>
      <c r="X27" s="133"/>
      <c r="Y27" s="133"/>
    </row>
    <row r="28" spans="2:27" ht="15.75" customHeight="1">
      <c r="B28" s="123">
        <v>5</v>
      </c>
      <c r="C28" s="124" t="s">
        <v>67</v>
      </c>
      <c r="D28" s="133"/>
      <c r="E28" s="133"/>
      <c r="F28" s="133"/>
      <c r="G28" s="133"/>
      <c r="H28" s="133"/>
      <c r="I28" s="133"/>
      <c r="J28" s="133"/>
      <c r="K28" s="133"/>
      <c r="L28" s="126">
        <v>4</v>
      </c>
      <c r="M28" s="133">
        <f t="shared" si="2"/>
        <v>16000</v>
      </c>
      <c r="N28" s="126">
        <v>0</v>
      </c>
      <c r="O28" s="133">
        <f t="shared" si="3"/>
        <v>0</v>
      </c>
      <c r="P28" s="126">
        <v>109</v>
      </c>
      <c r="Q28" s="133">
        <f t="shared" si="4"/>
        <v>422375</v>
      </c>
      <c r="R28" s="133"/>
      <c r="S28" s="133">
        <f t="shared" ref="S28:T28" si="9">L28+N28+P28</f>
        <v>113</v>
      </c>
      <c r="T28" s="133">
        <f t="shared" si="9"/>
        <v>438375</v>
      </c>
      <c r="U28" s="133"/>
      <c r="V28" s="133"/>
      <c r="W28" s="133"/>
      <c r="X28" s="133"/>
      <c r="Y28" s="133"/>
    </row>
    <row r="29" spans="2:27" ht="15.75" customHeight="1">
      <c r="B29" s="123">
        <v>6</v>
      </c>
      <c r="C29" s="128" t="s">
        <v>35</v>
      </c>
      <c r="D29" s="133"/>
      <c r="E29" s="133"/>
      <c r="F29" s="133"/>
      <c r="G29" s="133"/>
      <c r="H29" s="133"/>
      <c r="I29" s="133"/>
      <c r="J29" s="133"/>
      <c r="K29" s="133"/>
      <c r="L29" s="126">
        <v>0</v>
      </c>
      <c r="M29" s="133">
        <f t="shared" si="2"/>
        <v>0</v>
      </c>
      <c r="N29" s="126">
        <v>84</v>
      </c>
      <c r="O29" s="133">
        <f t="shared" si="3"/>
        <v>325500</v>
      </c>
      <c r="P29" s="126">
        <v>2</v>
      </c>
      <c r="Q29" s="133">
        <f t="shared" si="4"/>
        <v>7750</v>
      </c>
      <c r="R29" s="133"/>
      <c r="S29" s="133">
        <f t="shared" ref="S29:T29" si="10">L29+N29+P29</f>
        <v>86</v>
      </c>
      <c r="T29" s="133">
        <f t="shared" si="10"/>
        <v>333250</v>
      </c>
      <c r="U29" s="133"/>
      <c r="V29" s="133"/>
      <c r="W29" s="133"/>
      <c r="X29" s="133"/>
      <c r="Y29" s="133"/>
    </row>
    <row r="30" spans="2:27" ht="15.75" customHeight="1">
      <c r="B30" s="123">
        <v>7</v>
      </c>
      <c r="C30" s="128" t="s">
        <v>68</v>
      </c>
      <c r="D30" s="133"/>
      <c r="E30" s="133"/>
      <c r="F30" s="133"/>
      <c r="G30" s="133"/>
      <c r="H30" s="133"/>
      <c r="I30" s="133"/>
      <c r="J30" s="133"/>
      <c r="K30" s="133"/>
      <c r="L30" s="126">
        <v>0</v>
      </c>
      <c r="M30" s="133">
        <f t="shared" si="2"/>
        <v>0</v>
      </c>
      <c r="N30" s="126">
        <v>134</v>
      </c>
      <c r="O30" s="133">
        <f t="shared" si="3"/>
        <v>519250</v>
      </c>
      <c r="P30" s="126">
        <v>11</v>
      </c>
      <c r="Q30" s="133">
        <f t="shared" si="4"/>
        <v>42625</v>
      </c>
      <c r="R30" s="133"/>
      <c r="S30" s="133">
        <f t="shared" ref="S30:T30" si="11">L30+N30+P30</f>
        <v>145</v>
      </c>
      <c r="T30" s="133">
        <f t="shared" si="11"/>
        <v>561875</v>
      </c>
      <c r="U30" s="133"/>
      <c r="V30" s="133"/>
      <c r="W30" s="133"/>
      <c r="X30" s="133"/>
      <c r="Y30" s="133"/>
    </row>
    <row r="31" spans="2:27" ht="15.75" customHeight="1">
      <c r="B31" s="123">
        <v>8</v>
      </c>
      <c r="C31" s="128" t="s">
        <v>69</v>
      </c>
      <c r="D31" s="133"/>
      <c r="E31" s="133"/>
      <c r="F31" s="133"/>
      <c r="G31" s="133"/>
      <c r="H31" s="133"/>
      <c r="I31" s="133"/>
      <c r="J31" s="133"/>
      <c r="K31" s="133"/>
      <c r="L31" s="126">
        <v>41</v>
      </c>
      <c r="M31" s="133">
        <f t="shared" si="2"/>
        <v>164000</v>
      </c>
      <c r="N31" s="126">
        <v>8</v>
      </c>
      <c r="O31" s="133">
        <f t="shared" si="3"/>
        <v>31000</v>
      </c>
      <c r="P31" s="126">
        <v>135</v>
      </c>
      <c r="Q31" s="133">
        <f t="shared" si="4"/>
        <v>523125</v>
      </c>
      <c r="R31" s="133"/>
      <c r="S31" s="133">
        <f t="shared" ref="S31:T31" si="12">L31+N31+P31</f>
        <v>184</v>
      </c>
      <c r="T31" s="133">
        <f t="shared" si="12"/>
        <v>718125</v>
      </c>
      <c r="U31" s="133"/>
      <c r="V31" s="133"/>
      <c r="W31" s="133"/>
      <c r="X31" s="133"/>
      <c r="Y31" s="133"/>
    </row>
    <row r="32" spans="2:27" ht="15.75" customHeight="1">
      <c r="B32" s="110">
        <v>9</v>
      </c>
      <c r="C32" s="112" t="s">
        <v>39</v>
      </c>
      <c r="D32" s="133"/>
      <c r="E32" s="133"/>
      <c r="F32" s="133"/>
      <c r="G32" s="133"/>
      <c r="H32" s="133"/>
      <c r="I32" s="133"/>
      <c r="J32" s="133"/>
      <c r="K32" s="133"/>
      <c r="L32" s="122">
        <v>0</v>
      </c>
      <c r="M32" s="133">
        <f t="shared" si="2"/>
        <v>0</v>
      </c>
      <c r="N32" s="122">
        <v>216</v>
      </c>
      <c r="O32" s="133">
        <f t="shared" si="3"/>
        <v>837000</v>
      </c>
      <c r="P32" s="122">
        <v>14</v>
      </c>
      <c r="Q32" s="133">
        <f t="shared" si="4"/>
        <v>54250</v>
      </c>
      <c r="R32" s="133"/>
      <c r="S32" s="133">
        <f t="shared" ref="S32:T32" si="13">L32+N32+P32</f>
        <v>230</v>
      </c>
      <c r="T32" s="133">
        <f t="shared" si="13"/>
        <v>891250</v>
      </c>
      <c r="U32" s="133"/>
      <c r="V32" s="133"/>
      <c r="W32" s="133"/>
      <c r="X32" s="133"/>
      <c r="Y32" s="133"/>
    </row>
    <row r="33" spans="2:25" ht="15.75" customHeight="1">
      <c r="B33" s="110">
        <v>10</v>
      </c>
      <c r="C33" s="112" t="s">
        <v>70</v>
      </c>
      <c r="D33" s="133"/>
      <c r="E33" s="133"/>
      <c r="F33" s="133"/>
      <c r="G33" s="133"/>
      <c r="H33" s="133"/>
      <c r="I33" s="133"/>
      <c r="J33" s="133"/>
      <c r="K33" s="133"/>
      <c r="L33" s="122">
        <v>232</v>
      </c>
      <c r="M33" s="133">
        <f t="shared" si="2"/>
        <v>928000</v>
      </c>
      <c r="N33" s="122">
        <v>22</v>
      </c>
      <c r="O33" s="133">
        <f t="shared" si="3"/>
        <v>85250</v>
      </c>
      <c r="P33" s="122">
        <v>0</v>
      </c>
      <c r="Q33" s="133">
        <f t="shared" si="4"/>
        <v>0</v>
      </c>
      <c r="R33" s="133"/>
      <c r="S33" s="133">
        <f t="shared" ref="S33:T33" si="14">L33+N33+P33</f>
        <v>254</v>
      </c>
      <c r="T33" s="133">
        <f t="shared" si="14"/>
        <v>1013250</v>
      </c>
      <c r="U33" s="133"/>
      <c r="V33" s="133"/>
      <c r="W33" s="133"/>
      <c r="X33" s="133"/>
      <c r="Y33" s="133"/>
    </row>
    <row r="34" spans="2:25" ht="15.75" customHeight="1">
      <c r="B34" s="110">
        <v>11</v>
      </c>
      <c r="C34" s="112" t="s">
        <v>71</v>
      </c>
      <c r="D34" s="133"/>
      <c r="E34" s="133"/>
      <c r="F34" s="133"/>
      <c r="G34" s="133"/>
      <c r="H34" s="133"/>
      <c r="I34" s="133"/>
      <c r="J34" s="133"/>
      <c r="K34" s="133"/>
      <c r="L34" s="122">
        <v>205</v>
      </c>
      <c r="M34" s="133">
        <f t="shared" si="2"/>
        <v>820000</v>
      </c>
      <c r="N34" s="122">
        <v>4</v>
      </c>
      <c r="O34" s="133">
        <f t="shared" si="3"/>
        <v>15500</v>
      </c>
      <c r="P34" s="122">
        <v>1</v>
      </c>
      <c r="Q34" s="133">
        <f t="shared" si="4"/>
        <v>3875</v>
      </c>
      <c r="R34" s="133"/>
      <c r="S34" s="133">
        <f t="shared" ref="S34:T34" si="15">L34+N34+P34</f>
        <v>210</v>
      </c>
      <c r="T34" s="133">
        <f t="shared" si="15"/>
        <v>839375</v>
      </c>
      <c r="U34" s="133"/>
      <c r="V34" s="133"/>
      <c r="W34" s="133"/>
      <c r="X34" s="133"/>
      <c r="Y34" s="133"/>
    </row>
    <row r="35" spans="2:25" ht="15.75" customHeight="1">
      <c r="B35" s="110">
        <v>12</v>
      </c>
      <c r="C35" s="112" t="s">
        <v>30</v>
      </c>
      <c r="D35" s="133"/>
      <c r="E35" s="133"/>
      <c r="F35" s="133"/>
      <c r="G35" s="133"/>
      <c r="H35" s="133"/>
      <c r="I35" s="133"/>
      <c r="J35" s="133"/>
      <c r="K35" s="133"/>
      <c r="L35" s="122">
        <v>4</v>
      </c>
      <c r="M35" s="133">
        <f t="shared" si="2"/>
        <v>16000</v>
      </c>
      <c r="N35" s="122">
        <v>32</v>
      </c>
      <c r="O35" s="133">
        <f t="shared" si="3"/>
        <v>124000</v>
      </c>
      <c r="P35" s="122">
        <v>170</v>
      </c>
      <c r="Q35" s="133">
        <f t="shared" si="4"/>
        <v>658750</v>
      </c>
      <c r="R35" s="133"/>
      <c r="S35" s="133">
        <f t="shared" ref="S35:T35" si="16">L35+N35+P35</f>
        <v>206</v>
      </c>
      <c r="T35" s="133">
        <f t="shared" si="16"/>
        <v>798750</v>
      </c>
      <c r="U35" s="133"/>
      <c r="V35" s="133"/>
      <c r="W35" s="133"/>
      <c r="X35" s="133"/>
      <c r="Y35" s="133"/>
    </row>
    <row r="36" spans="2:25" ht="15.75" customHeight="1">
      <c r="B36" s="110">
        <v>13</v>
      </c>
      <c r="C36" s="112" t="s">
        <v>72</v>
      </c>
      <c r="D36" s="133"/>
      <c r="E36" s="133"/>
      <c r="F36" s="133"/>
      <c r="G36" s="133"/>
      <c r="H36" s="133"/>
      <c r="I36" s="133"/>
      <c r="J36" s="133"/>
      <c r="K36" s="133"/>
      <c r="L36" s="122">
        <v>8</v>
      </c>
      <c r="M36" s="133">
        <f t="shared" si="2"/>
        <v>32000</v>
      </c>
      <c r="N36" s="122">
        <v>33</v>
      </c>
      <c r="O36" s="133">
        <f t="shared" si="3"/>
        <v>127875</v>
      </c>
      <c r="P36" s="122">
        <v>30</v>
      </c>
      <c r="Q36" s="133">
        <f t="shared" si="4"/>
        <v>116250</v>
      </c>
      <c r="R36" s="133"/>
      <c r="S36" s="133">
        <f t="shared" ref="S36:T36" si="17">L36+N36+P36</f>
        <v>71</v>
      </c>
      <c r="T36" s="133">
        <f t="shared" si="17"/>
        <v>276125</v>
      </c>
      <c r="U36" s="133"/>
      <c r="V36" s="133"/>
      <c r="W36" s="133"/>
      <c r="X36" s="133"/>
      <c r="Y36" s="133"/>
    </row>
    <row r="37" spans="2:25" ht="15.75" customHeight="1">
      <c r="B37" s="108"/>
      <c r="C37" s="130"/>
      <c r="D37" s="134"/>
      <c r="E37" s="134"/>
      <c r="F37" s="134"/>
      <c r="G37" s="134"/>
      <c r="H37" s="134"/>
      <c r="I37" s="134"/>
      <c r="J37" s="134"/>
      <c r="K37" s="134"/>
      <c r="L37" s="134">
        <f t="shared" ref="L37:Q37" si="18">SUM(L24:L36)</f>
        <v>744</v>
      </c>
      <c r="M37" s="134">
        <f t="shared" si="18"/>
        <v>2976000</v>
      </c>
      <c r="N37" s="134">
        <f t="shared" si="18"/>
        <v>744</v>
      </c>
      <c r="O37" s="134">
        <f t="shared" si="18"/>
        <v>2883000</v>
      </c>
      <c r="P37" s="134">
        <f t="shared" si="18"/>
        <v>744</v>
      </c>
      <c r="Q37" s="134">
        <f t="shared" si="18"/>
        <v>2883000</v>
      </c>
      <c r="R37" s="134"/>
      <c r="S37" s="134">
        <f t="shared" ref="S37:T37" si="19">SUM(S24:S36)</f>
        <v>2232</v>
      </c>
      <c r="T37" s="134">
        <f t="shared" si="19"/>
        <v>8742000</v>
      </c>
      <c r="U37" s="134"/>
      <c r="V37" s="134"/>
      <c r="W37" s="134"/>
      <c r="X37" s="134"/>
      <c r="Y37" s="134"/>
    </row>
    <row r="38" spans="2:25" ht="15.75" customHeight="1"/>
    <row r="39" spans="2:25" ht="15.75" customHeight="1"/>
    <row r="40" spans="2:25" ht="15.75" customHeight="1"/>
    <row r="41" spans="2:25" ht="15.75" customHeight="1"/>
    <row r="42" spans="2:25" ht="15.75" customHeight="1"/>
    <row r="43" spans="2:25" ht="15.75" customHeight="1"/>
    <row r="44" spans="2:25" ht="15.75" customHeight="1"/>
    <row r="45" spans="2:25" ht="15.75" customHeight="1"/>
    <row r="46" spans="2:25" ht="15.75" customHeight="1"/>
    <row r="47" spans="2:25" ht="15.75" customHeight="1"/>
    <row r="48" spans="2:2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workbookViewId="0"/>
  </sheetViews>
  <sheetFormatPr defaultColWidth="14.42578125" defaultRowHeight="15" customHeight="1"/>
  <cols>
    <col min="1" max="8" width="9" customWidth="1"/>
    <col min="9" max="9" width="18.140625" customWidth="1"/>
    <col min="10" max="26" width="9" customWidth="1"/>
  </cols>
  <sheetData>
    <row r="1" spans="1:10">
      <c r="A1" s="11" t="s">
        <v>79</v>
      </c>
    </row>
    <row r="2" spans="1:10">
      <c r="A2" s="11" t="s">
        <v>80</v>
      </c>
      <c r="B2" s="11" t="s">
        <v>81</v>
      </c>
      <c r="F2" s="11" t="s">
        <v>82</v>
      </c>
      <c r="I2" s="11" t="s">
        <v>83</v>
      </c>
      <c r="J2" s="11" t="s">
        <v>84</v>
      </c>
    </row>
    <row r="3" spans="1:10">
      <c r="A3" s="11">
        <v>40000</v>
      </c>
      <c r="B3" s="11">
        <v>39000</v>
      </c>
      <c r="F3" s="11">
        <v>0</v>
      </c>
      <c r="I3" s="135">
        <f>Sheet1!B3</f>
        <v>46082</v>
      </c>
    </row>
    <row r="4" spans="1:10">
      <c r="I4" s="136">
        <f>EOMONTH(I3,0)</f>
        <v>46112</v>
      </c>
      <c r="J4" s="11">
        <v>2</v>
      </c>
    </row>
    <row r="6" spans="1:10">
      <c r="A6" s="11">
        <v>33000</v>
      </c>
      <c r="B6" s="11">
        <v>32000</v>
      </c>
    </row>
    <row r="10" spans="1:10">
      <c r="A10" s="11">
        <f>A3*1.5</f>
        <v>60000</v>
      </c>
    </row>
    <row r="11" spans="1:10">
      <c r="A11" s="11">
        <f>A10-A3</f>
        <v>20000</v>
      </c>
    </row>
    <row r="12" spans="1:10">
      <c r="A12" s="137">
        <f>A11/8</f>
        <v>2500</v>
      </c>
      <c r="B12" s="137" t="s">
        <v>85</v>
      </c>
      <c r="C12" s="137"/>
      <c r="D12" s="137"/>
      <c r="E12" s="1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Sheet3</vt:lpstr>
      <vt:lpstr>Sheet2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Eko</cp:lastModifiedBy>
  <dcterms:modified xsi:type="dcterms:W3CDTF">2026-07-09T08:49:53Z</dcterms:modified>
</cp:coreProperties>
</file>