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aveExternalLinkValues="0"/>
  <mc:AlternateContent xmlns:mc="http://schemas.openxmlformats.org/markup-compatibility/2006">
    <mc:Choice Requires="x15">
      <x15ac:absPath xmlns:x15ac="http://schemas.microsoft.com/office/spreadsheetml/2010/11/ac" url="W:\_DOC\doc\gaji\2026\7\"/>
    </mc:Choice>
  </mc:AlternateContent>
  <xr:revisionPtr revIDLastSave="0" documentId="13_ncr:1_{C5CF1548-4A91-49A9-A563-219AF08DA76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Sheet2" sheetId="3" r:id="rId2"/>
    <sheet name="data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V38" i="1"/>
  <c r="U37" i="1"/>
  <c r="U39" i="1" s="1"/>
  <c r="S38" i="1"/>
  <c r="E5" i="3" l="1"/>
  <c r="E6" i="3"/>
  <c r="E8" i="3"/>
  <c r="E9" i="3"/>
  <c r="E11" i="3"/>
  <c r="E4" i="3"/>
  <c r="B4" i="2"/>
  <c r="A4" i="2"/>
  <c r="A10" i="2"/>
  <c r="A11" i="2"/>
  <c r="T9" i="1" l="1"/>
  <c r="T7" i="1" l="1"/>
  <c r="V28" i="1" l="1"/>
  <c r="W28" i="1" s="1"/>
  <c r="V29" i="1" l="1"/>
  <c r="W29" i="1"/>
  <c r="P14" i="1" l="1"/>
  <c r="S14" i="1" l="1"/>
  <c r="U14" i="1"/>
  <c r="R5" i="1"/>
  <c r="R6" i="1"/>
  <c r="X16" i="1" l="1"/>
  <c r="R10" i="1" l="1"/>
  <c r="R11" i="1"/>
  <c r="R12" i="1"/>
  <c r="R13" i="1"/>
  <c r="R14" i="1"/>
  <c r="AF18" i="1"/>
  <c r="T14" i="1"/>
  <c r="AI19" i="1"/>
  <c r="AJ6" i="1"/>
  <c r="AJ7" i="1"/>
  <c r="AJ8" i="1"/>
  <c r="AJ9" i="1"/>
  <c r="AJ10" i="1"/>
  <c r="AJ11" i="1"/>
  <c r="AJ12" i="1"/>
  <c r="AJ13" i="1"/>
  <c r="AJ14" i="1"/>
  <c r="AJ15" i="1"/>
  <c r="AJ5" i="1"/>
  <c r="AJ19" i="1" l="1"/>
  <c r="V16" i="1"/>
  <c r="P5" i="1"/>
  <c r="P16" i="1"/>
  <c r="U16" i="1" s="1"/>
  <c r="A12" i="2" l="1"/>
  <c r="T6" i="1" l="1"/>
  <c r="T8" i="1" l="1"/>
  <c r="V5" i="1" l="1"/>
  <c r="V6" i="1"/>
  <c r="V7" i="1"/>
  <c r="V8" i="1"/>
  <c r="P18" i="1" l="1"/>
  <c r="P17" i="1"/>
  <c r="P15" i="1"/>
  <c r="P13" i="1"/>
  <c r="P12" i="1"/>
  <c r="U12" i="1" s="1"/>
  <c r="P11" i="1"/>
  <c r="U11" i="1" s="1"/>
  <c r="P10" i="1"/>
  <c r="S10" i="1" s="1"/>
  <c r="P9" i="1"/>
  <c r="P8" i="1"/>
  <c r="S8" i="1" s="1"/>
  <c r="P7" i="1"/>
  <c r="S7" i="1" s="1"/>
  <c r="P6" i="1"/>
  <c r="S6" i="1" s="1"/>
  <c r="U5" i="1"/>
  <c r="U13" i="1" l="1"/>
  <c r="S9" i="1"/>
  <c r="U9" i="1"/>
  <c r="U10" i="1"/>
  <c r="U6" i="1"/>
  <c r="S15" i="1"/>
  <c r="U15" i="1"/>
  <c r="U7" i="1"/>
  <c r="T11" i="1" l="1"/>
  <c r="W19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5" i="1"/>
  <c r="X17" i="1" l="1"/>
  <c r="X18" i="1"/>
  <c r="V18" i="1" l="1"/>
  <c r="U18" i="1"/>
  <c r="T18" i="1"/>
  <c r="R18" i="1"/>
  <c r="N19" i="1" l="1"/>
  <c r="M19" i="1"/>
  <c r="AM18" i="1"/>
  <c r="J19" i="1" l="1"/>
  <c r="AM17" i="1" l="1"/>
  <c r="AM16" i="1"/>
  <c r="AM15" i="1"/>
  <c r="AM14" i="1"/>
  <c r="AM13" i="1"/>
  <c r="AM12" i="1"/>
  <c r="AM11" i="1"/>
  <c r="AM10" i="1"/>
  <c r="AM9" i="1"/>
  <c r="AM8" i="1"/>
  <c r="AM7" i="1"/>
  <c r="AM6" i="1"/>
  <c r="AM5" i="1"/>
  <c r="R17" i="1" l="1"/>
  <c r="I3" i="2" l="1"/>
  <c r="I4" i="2" s="1"/>
  <c r="X20" i="1" l="1"/>
  <c r="S16" i="1" l="1"/>
  <c r="O19" i="1"/>
  <c r="L19" i="1"/>
  <c r="S17" i="1"/>
  <c r="T17" i="1"/>
  <c r="U17" i="1"/>
  <c r="V17" i="1"/>
  <c r="L20" i="1" l="1"/>
  <c r="L22" i="1"/>
  <c r="AE17" i="1"/>
  <c r="AE16" i="1"/>
  <c r="V9" i="1"/>
  <c r="F31" i="1"/>
  <c r="V15" i="1"/>
  <c r="T15" i="1"/>
  <c r="V14" i="1"/>
  <c r="V13" i="1"/>
  <c r="T13" i="1"/>
  <c r="V12" i="1"/>
  <c r="T12" i="1"/>
  <c r="R7" i="1"/>
  <c r="V10" i="1"/>
  <c r="T10" i="1"/>
  <c r="T16" i="1"/>
  <c r="T5" i="1"/>
  <c r="V11" i="1"/>
  <c r="Y19" i="1"/>
  <c r="E25" i="1" l="1"/>
  <c r="Q9" i="1" s="1"/>
  <c r="M25" i="1"/>
  <c r="AF17" i="1"/>
  <c r="AG17" i="1"/>
  <c r="AG16" i="1"/>
  <c r="AH16" i="1"/>
  <c r="Q18" i="1"/>
  <c r="Z18" i="1" s="1"/>
  <c r="Q10" i="1"/>
  <c r="Q12" i="1"/>
  <c r="Q14" i="1"/>
  <c r="Q8" i="1"/>
  <c r="Q5" i="1"/>
  <c r="Q7" i="1"/>
  <c r="Q6" i="1"/>
  <c r="Q13" i="1"/>
  <c r="Z13" i="1" s="1"/>
  <c r="Q11" i="1"/>
  <c r="Q16" i="1"/>
  <c r="Q15" i="1"/>
  <c r="Q17" i="1"/>
  <c r="Z17" i="1" s="1"/>
  <c r="AE15" i="1"/>
  <c r="AE14" i="1"/>
  <c r="AE13" i="1"/>
  <c r="AE12" i="1"/>
  <c r="T19" i="1"/>
  <c r="X19" i="1"/>
  <c r="V19" i="1"/>
  <c r="R19" i="1"/>
  <c r="AG15" i="1" l="1"/>
  <c r="AH15" i="1"/>
  <c r="AG14" i="1"/>
  <c r="AH14" i="1"/>
  <c r="AG12" i="1"/>
  <c r="AH12" i="1"/>
  <c r="AH13" i="1"/>
  <c r="AG13" i="1"/>
  <c r="Z14" i="1"/>
  <c r="Z16" i="1"/>
  <c r="Z12" i="1" l="1"/>
  <c r="AE5" i="1" l="1"/>
  <c r="Z5" i="1"/>
  <c r="AE10" i="1"/>
  <c r="AE8" i="1"/>
  <c r="P19" i="1"/>
  <c r="F32" i="1" s="1"/>
  <c r="F33" i="1" s="1"/>
  <c r="AE11" i="1"/>
  <c r="AE7" i="1"/>
  <c r="AE6" i="1"/>
  <c r="AE9" i="1"/>
  <c r="Q19" i="1"/>
  <c r="U8" i="1"/>
  <c r="AH5" i="1" l="1"/>
  <c r="AG5" i="1"/>
  <c r="AG7" i="1"/>
  <c r="AH7" i="1"/>
  <c r="AG8" i="1"/>
  <c r="AH8" i="1"/>
  <c r="AG6" i="1"/>
  <c r="AH6" i="1"/>
  <c r="AG11" i="1"/>
  <c r="AH11" i="1"/>
  <c r="AG10" i="1"/>
  <c r="AH10" i="1"/>
  <c r="AH9" i="1"/>
  <c r="AG9" i="1"/>
  <c r="Z6" i="1"/>
  <c r="Z9" i="1"/>
  <c r="Z8" i="1"/>
  <c r="Z10" i="1"/>
  <c r="Z11" i="1"/>
  <c r="U19" i="1"/>
  <c r="S19" i="1"/>
  <c r="Z7" i="1"/>
  <c r="Z19" i="1" l="1"/>
</calcChain>
</file>

<file path=xl/sharedStrings.xml><?xml version="1.0" encoding="utf-8"?>
<sst xmlns="http://schemas.openxmlformats.org/spreadsheetml/2006/main" count="118" uniqueCount="68">
  <si>
    <t>Gaji Warnet</t>
  </si>
  <si>
    <t>No</t>
  </si>
  <si>
    <t>OP</t>
  </si>
  <si>
    <t>tetap</t>
  </si>
  <si>
    <t>pk</t>
  </si>
  <si>
    <t>tk</t>
  </si>
  <si>
    <t>senior</t>
  </si>
  <si>
    <t>lulus evaluasi</t>
  </si>
  <si>
    <t>over shift</t>
  </si>
  <si>
    <t>Kebersihan PC</t>
  </si>
  <si>
    <t>konten</t>
  </si>
  <si>
    <t>shift 1</t>
  </si>
  <si>
    <t>shift 2</t>
  </si>
  <si>
    <t>shift 3</t>
  </si>
  <si>
    <t>Shift BO</t>
  </si>
  <si>
    <t>jml jam</t>
  </si>
  <si>
    <t>gaji</t>
  </si>
  <si>
    <t>over
shift</t>
  </si>
  <si>
    <t>Penalty Kebersihan PC</t>
  </si>
  <si>
    <t xml:space="preserve">konten
training
</t>
  </si>
  <si>
    <t xml:space="preserve">hardware komisi cafe
</t>
  </si>
  <si>
    <t>total</t>
  </si>
  <si>
    <t>bo</t>
  </si>
  <si>
    <t>warnet</t>
  </si>
  <si>
    <t>fix total</t>
  </si>
  <si>
    <t>Arif</t>
  </si>
  <si>
    <t>Firman</t>
  </si>
  <si>
    <t>percobaan</t>
  </si>
  <si>
    <t>Gilang</t>
  </si>
  <si>
    <t>Henbediona</t>
  </si>
  <si>
    <t>Iman</t>
  </si>
  <si>
    <t>Ridwan</t>
  </si>
  <si>
    <t>riniroma</t>
  </si>
  <si>
    <t>Ririn</t>
  </si>
  <si>
    <t>Ronald</t>
  </si>
  <si>
    <t>Yulika</t>
  </si>
  <si>
    <t>-</t>
  </si>
  <si>
    <t>faktor penambah gaji</t>
  </si>
  <si>
    <t>note</t>
  </si>
  <si>
    <t>outlet aktif</t>
  </si>
  <si>
    <t>total jam kerja 1bulan normal</t>
  </si>
  <si>
    <t>total jam tutup karena efisiensi</t>
  </si>
  <si>
    <t>Total jam kerja efektif</t>
  </si>
  <si>
    <t>total jam kerja</t>
  </si>
  <si>
    <t>selisih jam kerja (BO/pendampingan)</t>
  </si>
  <si>
    <t xml:space="preserve">shift </t>
  </si>
  <si>
    <t>satu</t>
  </si>
  <si>
    <t>dua-tiga</t>
  </si>
  <si>
    <t>devaluasi M2</t>
  </si>
  <si>
    <t>jml hari pada bulan</t>
  </si>
  <si>
    <t>jml outlet</t>
  </si>
  <si>
    <t>tambahan untk jam shift lebaran</t>
  </si>
  <si>
    <t>tgl masuk</t>
  </si>
  <si>
    <t>freelance</t>
  </si>
  <si>
    <t>resign</t>
  </si>
  <si>
    <t>umur saat ini 
(dlm bulan)</t>
  </si>
  <si>
    <t xml:space="preserve">daftar operator muslim </t>
  </si>
  <si>
    <t>THR ✔</t>
  </si>
  <si>
    <t>Andra</t>
  </si>
  <si>
    <t>Percobaan</t>
  </si>
  <si>
    <t>+</t>
  </si>
  <si>
    <t>Vio</t>
  </si>
  <si>
    <t xml:space="preserve">penyesuaian </t>
  </si>
  <si>
    <t>meeting</t>
  </si>
  <si>
    <t>Mepet</t>
  </si>
  <si>
    <t>meeting, telat</t>
  </si>
  <si>
    <t>Rama</t>
  </si>
  <si>
    <t>mepet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</si>
</sst>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mmmm\-yyyy"/>
    <numFmt numFmtId="165" formatCode="_(* #,##0_);_(* \(#,##0\);_(* &quot;-&quot;??_);_(@_)"/>
    <numFmt numFmtId="166" formatCode="_(* #,##0.00_);_(* \(#,##0.00\);_(* &quot;-&quot;??_);_(@_)"/>
    <numFmt numFmtId="167" formatCode="dd"/>
    <numFmt numFmtId="168" formatCode="#,##0;[Red]\(#,##0\)"/>
    <numFmt numFmtId="169" formatCode="mmmm\ yyyy"/>
    <numFmt numFmtId="170" formatCode="[$-14C09]d\ mmm\ yyyy;@"/>
  </numFmts>
  <fonts count="41">
    <font>
      <sz val="11"/>
      <name val="Calibri"/>
      <family val="2"/>
    </font>
    <font>
      <sz val="12"/>
      <color rgb="FF000000"/>
      <name val="Calibri"/>
    </font>
    <font>
      <b/>
      <sz val="20"/>
      <color theme="1"/>
      <name val="Calibri"/>
    </font>
    <font>
      <sz val="12"/>
      <color rgb="FF1F3964"/>
      <name val="Arial"/>
    </font>
    <font>
      <sz val="12"/>
      <name val="Arial"/>
    </font>
    <font>
      <sz val="12"/>
      <name val="Calibri"/>
    </font>
    <font>
      <b/>
      <sz val="12"/>
      <color theme="4" tint="-0.499984740745262"/>
      <name val="Arial"/>
    </font>
    <font>
      <sz val="11"/>
      <color rgb="FF1F3964"/>
      <name val="Arial"/>
    </font>
    <font>
      <sz val="11"/>
      <color theme="3"/>
      <name val="Calibri"/>
    </font>
    <font>
      <sz val="12"/>
      <color theme="4" tint="-0.499984740745262"/>
      <name val="Arial"/>
    </font>
    <font>
      <sz val="11"/>
      <color rgb="FF000000"/>
      <name val="Calibri"/>
    </font>
    <font>
      <sz val="11"/>
      <color theme="0" tint="-0.34998626667073579"/>
      <name val="Calibri"/>
    </font>
    <font>
      <sz val="10"/>
      <color rgb="FF002060"/>
      <name val="Calibri"/>
      <scheme val="minor"/>
    </font>
    <font>
      <b/>
      <sz val="12"/>
      <color rgb="FF000000"/>
      <name val="Calibri"/>
    </font>
    <font>
      <sz val="12"/>
      <color theme="1"/>
      <name val="Arial"/>
    </font>
    <font>
      <sz val="12"/>
      <color theme="0"/>
      <name val="Arial"/>
    </font>
    <font>
      <sz val="12"/>
      <color rgb="FF435369"/>
      <name val="Arial"/>
    </font>
    <font>
      <sz val="9"/>
      <color rgb="FF000000"/>
      <name val="Calibri"/>
    </font>
    <font>
      <b/>
      <sz val="12"/>
      <color rgb="FF435369"/>
      <name val="Arial"/>
    </font>
    <font>
      <sz val="11"/>
      <color rgb="FFFFFF00"/>
      <name val="Calibri"/>
    </font>
    <font>
      <sz val="11"/>
      <name val="Calibri"/>
      <charset val="134"/>
    </font>
    <font>
      <sz val="11"/>
      <name val="Calibri"/>
      <scheme val="minor"/>
    </font>
    <font>
      <sz val="11"/>
      <name val="Calibri"/>
      <family val="2"/>
    </font>
    <font>
      <sz val="12"/>
      <color rgb="FF1F396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color theme="2" tint="-9.9978637043366805E-2"/>
      <name val="Calibri"/>
      <family val="2"/>
    </font>
    <font>
      <sz val="11"/>
      <color rgb="FF0A0A0A"/>
      <name val="Courier New"/>
      <family val="3"/>
    </font>
    <font>
      <i/>
      <sz val="12"/>
      <color rgb="FF1F3964"/>
      <name val="Arial"/>
      <family val="2"/>
    </font>
    <font>
      <i/>
      <sz val="12"/>
      <color rgb="FF333333"/>
      <name val="Arial"/>
      <family val="2"/>
    </font>
    <font>
      <b/>
      <i/>
      <sz val="12"/>
      <name val="Arial"/>
      <family val="2"/>
    </font>
    <font>
      <sz val="12"/>
      <color rgb="FFFF0000"/>
      <name val="Arial"/>
      <family val="2"/>
    </font>
    <font>
      <i/>
      <sz val="10"/>
      <color rgb="FF1F3964"/>
      <name val="Arial"/>
      <family val="2"/>
    </font>
    <font>
      <i/>
      <sz val="12"/>
      <color rgb="FFFF0000"/>
      <name val="Arial"/>
      <family val="2"/>
    </font>
    <font>
      <sz val="10"/>
      <color rgb="FF1F3964"/>
      <name val="Arial"/>
      <family val="2"/>
    </font>
    <font>
      <sz val="12"/>
      <color rgb="FF333333"/>
      <name val="Arial"/>
      <family val="2"/>
    </font>
    <font>
      <b/>
      <sz val="12"/>
      <color theme="4" tint="-0.499984740745262"/>
      <name val="Arial"/>
      <family val="2"/>
    </font>
    <font>
      <sz val="11"/>
      <color rgb="FF1F3964"/>
      <name val="Arial"/>
      <family val="2"/>
    </font>
    <font>
      <sz val="11"/>
      <color rgb="FF1F3964"/>
      <name val="Verdana"/>
      <family val="2"/>
    </font>
    <font>
      <sz val="20"/>
      <color theme="5" tint="0.59999389629810485"/>
      <name val="Calibri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2" fillId="0" borderId="0">
      <alignment vertical="center"/>
    </xf>
    <xf numFmtId="0" fontId="10" fillId="0" borderId="0">
      <protection locked="0"/>
    </xf>
    <xf numFmtId="0" fontId="10" fillId="0" borderId="0">
      <protection locked="0"/>
    </xf>
    <xf numFmtId="0" fontId="2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16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1" fontId="3" fillId="0" borderId="2" xfId="3" applyFont="1" applyFill="1" applyBorder="1" applyAlignment="1">
      <alignment horizontal="right" vertical="center" wrapText="1"/>
    </xf>
    <xf numFmtId="37" fontId="3" fillId="0" borderId="2" xfId="3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165" fontId="0" fillId="0" borderId="0" xfId="5" applyNumberFormat="1" applyFont="1" applyFill="1" applyAlignment="1">
      <alignment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right" vertical="center"/>
    </xf>
    <xf numFmtId="0" fontId="1" fillId="2" borderId="0" xfId="0" applyFont="1" applyFill="1" applyAlignment="1"/>
    <xf numFmtId="0" fontId="3" fillId="2" borderId="2" xfId="0" applyFont="1" applyFill="1" applyBorder="1" applyAlignment="1">
      <alignment horizontal="right" vertical="center"/>
    </xf>
    <xf numFmtId="165" fontId="0" fillId="2" borderId="0" xfId="5" applyNumberFormat="1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5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41" fontId="4" fillId="0" borderId="2" xfId="3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1" fontId="6" fillId="0" borderId="2" xfId="3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2" xfId="6" applyFont="1" applyBorder="1" applyAlignment="1">
      <alignment horizontal="left" vertical="center"/>
    </xf>
    <xf numFmtId="0" fontId="3" fillId="0" borderId="2" xfId="6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41" fontId="9" fillId="0" borderId="2" xfId="3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 vertical="center"/>
    </xf>
    <xf numFmtId="41" fontId="3" fillId="3" borderId="2" xfId="3" applyFont="1" applyFill="1" applyBorder="1" applyAlignment="1">
      <alignment horizontal="right" vertical="center"/>
    </xf>
    <xf numFmtId="37" fontId="3" fillId="3" borderId="2" xfId="3" applyNumberFormat="1" applyFont="1" applyFill="1" applyBorder="1" applyAlignment="1">
      <alignment horizontal="right" vertical="center"/>
    </xf>
    <xf numFmtId="165" fontId="0" fillId="3" borderId="0" xfId="5" applyNumberFormat="1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0" fontId="13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165" fontId="15" fillId="0" borderId="0" xfId="5" applyNumberFormat="1" applyFont="1" applyFill="1" applyAlignment="1">
      <alignment horizontal="left"/>
    </xf>
    <xf numFmtId="166" fontId="15" fillId="0" borderId="0" xfId="0" applyNumberFormat="1" applyFont="1" applyAlignment="1">
      <alignment horizontal="left"/>
    </xf>
    <xf numFmtId="41" fontId="16" fillId="0" borderId="0" xfId="3" applyFont="1" applyFill="1" applyAlignment="1" applyProtection="1">
      <alignment horizontal="right" vertical="center"/>
    </xf>
    <xf numFmtId="0" fontId="16" fillId="0" borderId="0" xfId="7" applyFont="1" applyProtection="1"/>
    <xf numFmtId="165" fontId="15" fillId="0" borderId="0" xfId="0" applyNumberFormat="1" applyFont="1" applyAlignment="1">
      <alignment horizontal="left"/>
    </xf>
    <xf numFmtId="167" fontId="1" fillId="0" borderId="0" xfId="0" applyNumberFormat="1" applyFont="1" applyAlignment="1"/>
    <xf numFmtId="165" fontId="17" fillId="0" borderId="0" xfId="5" applyNumberFormat="1" applyFont="1" applyAlignment="1"/>
    <xf numFmtId="41" fontId="3" fillId="0" borderId="5" xfId="3" applyFont="1" applyFill="1" applyBorder="1" applyAlignment="1">
      <alignment horizontal="right" vertical="center"/>
    </xf>
    <xf numFmtId="0" fontId="16" fillId="0" borderId="0" xfId="7" applyFont="1" applyAlignment="1" applyProtection="1">
      <alignment horizontal="center"/>
    </xf>
    <xf numFmtId="41" fontId="18" fillId="0" borderId="0" xfId="3" applyFont="1" applyFill="1" applyAlignment="1" applyProtection="1">
      <alignment horizontal="right" vertical="center"/>
    </xf>
    <xf numFmtId="168" fontId="16" fillId="0" borderId="0" xfId="3" applyNumberFormat="1" applyFont="1" applyFill="1" applyAlignment="1" applyProtection="1">
      <alignment horizontal="right" vertical="center"/>
    </xf>
    <xf numFmtId="41" fontId="0" fillId="0" borderId="0" xfId="0" applyNumberFormat="1">
      <alignment vertical="center"/>
    </xf>
    <xf numFmtId="169" fontId="0" fillId="0" borderId="0" xfId="0" applyNumberFormat="1">
      <alignment vertical="center"/>
    </xf>
    <xf numFmtId="167" fontId="0" fillId="0" borderId="0" xfId="0" applyNumberFormat="1" applyAlignment="1">
      <alignment horizontal="center" vertical="center"/>
    </xf>
    <xf numFmtId="0" fontId="19" fillId="10" borderId="0" xfId="0" applyFont="1" applyFill="1">
      <alignment vertical="center"/>
    </xf>
    <xf numFmtId="0" fontId="23" fillId="4" borderId="4" xfId="1" applyFont="1" applyFill="1" applyBorder="1" applyAlignment="1">
      <alignment horizontal="left" vertical="center" wrapText="1"/>
    </xf>
    <xf numFmtId="0" fontId="23" fillId="0" borderId="4" xfId="1" applyFont="1" applyFill="1" applyBorder="1" applyAlignment="1">
      <alignment horizontal="left" vertical="center" wrapText="1"/>
    </xf>
    <xf numFmtId="0" fontId="23" fillId="0" borderId="4" xfId="1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horizontal="center" vertical="center" wrapText="1"/>
    </xf>
    <xf numFmtId="41" fontId="23" fillId="0" borderId="4" xfId="2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horizontal="right" vertical="center"/>
    </xf>
    <xf numFmtId="0" fontId="24" fillId="0" borderId="4" xfId="1" applyFont="1" applyFill="1" applyBorder="1" applyAlignment="1">
      <alignment horizontal="right" vertical="center" wrapText="1"/>
    </xf>
    <xf numFmtId="0" fontId="24" fillId="0" borderId="4" xfId="1" applyFont="1" applyFill="1" applyBorder="1" applyAlignment="1">
      <alignment horizontal="right" vertical="center"/>
    </xf>
    <xf numFmtId="41" fontId="25" fillId="0" borderId="2" xfId="3" applyFont="1" applyFill="1" applyBorder="1" applyAlignment="1">
      <alignment horizontal="right" vertical="center" wrapText="1"/>
    </xf>
    <xf numFmtId="41" fontId="24" fillId="0" borderId="2" xfId="3" applyFont="1" applyFill="1" applyBorder="1" applyAlignment="1">
      <alignment horizontal="right" vertical="center" wrapText="1"/>
    </xf>
    <xf numFmtId="41" fontId="23" fillId="0" borderId="2" xfId="3" applyFont="1" applyFill="1" applyBorder="1" applyAlignment="1">
      <alignment horizontal="right" vertical="center" wrapText="1"/>
    </xf>
    <xf numFmtId="37" fontId="24" fillId="0" borderId="2" xfId="3" applyNumberFormat="1" applyFont="1" applyFill="1" applyBorder="1" applyAlignment="1">
      <alignment horizontal="right" vertical="center" wrapText="1"/>
    </xf>
    <xf numFmtId="165" fontId="23" fillId="0" borderId="4" xfId="4" applyNumberFormat="1" applyFont="1" applyFill="1" applyBorder="1" applyAlignment="1">
      <alignment horizontal="right" vertical="center" wrapText="1"/>
    </xf>
    <xf numFmtId="0" fontId="23" fillId="0" borderId="4" xfId="1" applyFont="1" applyFill="1" applyBorder="1" applyAlignment="1">
      <alignment horizontal="left" vertical="center"/>
    </xf>
    <xf numFmtId="17" fontId="0" fillId="0" borderId="0" xfId="0" applyNumberFormat="1" applyAlignment="1">
      <alignment horizontal="left" vertical="center"/>
    </xf>
    <xf numFmtId="0" fontId="26" fillId="0" borderId="0" xfId="0" applyFont="1">
      <alignment vertical="center"/>
    </xf>
    <xf numFmtId="17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11" borderId="4" xfId="1" applyFont="1" applyFill="1" applyBorder="1" applyAlignment="1">
      <alignment horizontal="left" vertical="center"/>
    </xf>
    <xf numFmtId="0" fontId="28" fillId="11" borderId="4" xfId="1" applyFont="1" applyFill="1" applyBorder="1" applyAlignment="1">
      <alignment horizontal="center" vertical="center" wrapText="1"/>
    </xf>
    <xf numFmtId="0" fontId="28" fillId="11" borderId="4" xfId="1" applyFont="1" applyFill="1" applyBorder="1" applyAlignment="1">
      <alignment horizontal="center" vertical="center"/>
    </xf>
    <xf numFmtId="41" fontId="28" fillId="11" borderId="4" xfId="2" applyFont="1" applyFill="1" applyBorder="1" applyAlignment="1">
      <alignment horizontal="center" vertical="center"/>
    </xf>
    <xf numFmtId="0" fontId="28" fillId="11" borderId="4" xfId="1" applyFont="1" applyFill="1" applyBorder="1" applyAlignment="1">
      <alignment horizontal="right" vertical="center"/>
    </xf>
    <xf numFmtId="0" fontId="29" fillId="11" borderId="4" xfId="1" applyFont="1" applyFill="1" applyBorder="1" applyAlignment="1">
      <alignment horizontal="right" vertical="center"/>
    </xf>
    <xf numFmtId="41" fontId="30" fillId="11" borderId="2" xfId="3" applyFont="1" applyFill="1" applyBorder="1" applyAlignment="1">
      <alignment horizontal="right" vertical="center" wrapText="1"/>
    </xf>
    <xf numFmtId="41" fontId="28" fillId="11" borderId="2" xfId="3" applyFont="1" applyFill="1" applyBorder="1" applyAlignment="1">
      <alignment horizontal="right" vertical="center" wrapText="1"/>
    </xf>
    <xf numFmtId="37" fontId="28" fillId="11" borderId="2" xfId="3" applyNumberFormat="1" applyFont="1" applyFill="1" applyBorder="1" applyAlignment="1">
      <alignment horizontal="right" vertical="center" wrapText="1"/>
    </xf>
    <xf numFmtId="0" fontId="31" fillId="0" borderId="2" xfId="0" applyFont="1" applyBorder="1" applyAlignment="1">
      <alignment horizontal="right" vertical="center"/>
    </xf>
    <xf numFmtId="0" fontId="28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3" fillId="4" borderId="4" xfId="1" applyFont="1" applyFill="1" applyBorder="1" applyAlignment="1">
      <alignment horizontal="left" vertical="center"/>
    </xf>
    <xf numFmtId="0" fontId="34" fillId="4" borderId="4" xfId="1" applyFont="1" applyFill="1" applyBorder="1" applyAlignment="1">
      <alignment horizontal="center" vertical="center" wrapText="1"/>
    </xf>
    <xf numFmtId="0" fontId="23" fillId="4" borderId="4" xfId="1" applyFont="1" applyFill="1" applyBorder="1" applyAlignment="1">
      <alignment horizontal="center" vertical="center" wrapText="1"/>
    </xf>
    <xf numFmtId="41" fontId="23" fillId="4" borderId="4" xfId="2" applyFont="1" applyFill="1" applyBorder="1" applyAlignment="1">
      <alignment horizontal="center" vertical="center"/>
    </xf>
    <xf numFmtId="0" fontId="23" fillId="4" borderId="4" xfId="1" applyFont="1" applyFill="1" applyBorder="1" applyAlignment="1">
      <alignment horizontal="right" vertical="center" wrapText="1"/>
    </xf>
    <xf numFmtId="0" fontId="35" fillId="0" borderId="4" xfId="1" applyFont="1" applyBorder="1" applyAlignment="1">
      <alignment horizontal="right" vertical="center"/>
    </xf>
    <xf numFmtId="37" fontId="23" fillId="0" borderId="2" xfId="3" applyNumberFormat="1" applyFont="1" applyFill="1" applyBorder="1" applyAlignment="1">
      <alignment horizontal="right" vertical="center" wrapText="1"/>
    </xf>
    <xf numFmtId="165" fontId="23" fillId="4" borderId="4" xfId="4" applyNumberFormat="1" applyFont="1" applyFill="1" applyBorder="1" applyAlignment="1">
      <alignment horizontal="right" vertical="center" wrapText="1"/>
    </xf>
    <xf numFmtId="0" fontId="23" fillId="4" borderId="4" xfId="1" applyFont="1" applyFill="1" applyBorder="1" applyAlignment="1">
      <alignment horizontal="center" vertical="center"/>
    </xf>
    <xf numFmtId="41" fontId="23" fillId="5" borderId="4" xfId="2" applyFont="1" applyFill="1" applyBorder="1" applyAlignment="1">
      <alignment horizontal="center" vertical="center"/>
    </xf>
    <xf numFmtId="0" fontId="24" fillId="6" borderId="4" xfId="1" applyFont="1" applyFill="1" applyBorder="1" applyAlignment="1">
      <alignment horizontal="right" vertical="center"/>
    </xf>
    <xf numFmtId="0" fontId="23" fillId="4" borderId="4" xfId="1" applyFont="1" applyFill="1" applyBorder="1" applyAlignment="1">
      <alignment horizontal="right" vertical="center"/>
    </xf>
    <xf numFmtId="0" fontId="35" fillId="0" borderId="4" xfId="1" applyFont="1" applyFill="1" applyBorder="1" applyAlignment="1">
      <alignment horizontal="right" vertical="center"/>
    </xf>
    <xf numFmtId="3" fontId="35" fillId="0" borderId="0" xfId="1" applyNumberFormat="1" applyFont="1" applyFill="1" applyAlignment="1">
      <alignment horizontal="right" vertical="center"/>
    </xf>
    <xf numFmtId="165" fontId="35" fillId="0" borderId="0" xfId="4" applyNumberFormat="1" applyFont="1" applyAlignment="1">
      <alignment horizontal="right" vertical="center"/>
    </xf>
    <xf numFmtId="0" fontId="24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2" xfId="0" applyFont="1" applyBorder="1" applyAlignment="1">
      <alignment horizontal="right" vertical="center"/>
    </xf>
    <xf numFmtId="0" fontId="23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41" fontId="23" fillId="0" borderId="2" xfId="3" applyFont="1" applyFill="1" applyBorder="1" applyAlignment="1">
      <alignment horizontal="center" vertical="center"/>
    </xf>
    <xf numFmtId="0" fontId="23" fillId="0" borderId="2" xfId="0" applyFont="1" applyBorder="1" applyAlignment="1">
      <alignment horizontal="right" vertical="center"/>
    </xf>
    <xf numFmtId="41" fontId="36" fillId="0" borderId="2" xfId="3" applyFont="1" applyFill="1" applyBorder="1" applyAlignment="1">
      <alignment horizontal="right" vertical="center" wrapText="1"/>
    </xf>
    <xf numFmtId="0" fontId="37" fillId="0" borderId="2" xfId="0" quotePrefix="1" applyFont="1" applyBorder="1" applyAlignment="1">
      <alignment horizontal="left" vertical="center" wrapText="1"/>
    </xf>
    <xf numFmtId="0" fontId="37" fillId="0" borderId="2" xfId="0" quotePrefix="1" applyFont="1" applyBorder="1" applyAlignment="1">
      <alignment horizontal="left" vertical="center"/>
    </xf>
    <xf numFmtId="0" fontId="37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41" fontId="38" fillId="0" borderId="2" xfId="3" applyFont="1" applyFill="1" applyBorder="1" applyAlignment="1">
      <alignment horizontal="center" vertical="center"/>
    </xf>
    <xf numFmtId="0" fontId="38" fillId="0" borderId="2" xfId="0" applyFont="1" applyBorder="1" applyAlignment="1">
      <alignment horizontal="right" vertical="center"/>
    </xf>
    <xf numFmtId="41" fontId="23" fillId="5" borderId="4" xfId="2" quotePrefix="1" applyFont="1" applyFill="1" applyBorder="1" applyAlignment="1">
      <alignment horizontal="center" vertical="center"/>
    </xf>
    <xf numFmtId="0" fontId="32" fillId="11" borderId="4" xfId="1" applyFont="1" applyFill="1" applyBorder="1" applyAlignment="1">
      <alignment horizontal="center" vertical="center" wrapText="1"/>
    </xf>
    <xf numFmtId="41" fontId="28" fillId="11" borderId="2" xfId="3" quotePrefix="1" applyFont="1" applyFill="1" applyBorder="1" applyAlignment="1">
      <alignment horizontal="right" vertical="center" wrapText="1"/>
    </xf>
    <xf numFmtId="41" fontId="33" fillId="11" borderId="2" xfId="3" applyFont="1" applyFill="1" applyBorder="1" applyAlignment="1">
      <alignment horizontal="right" vertical="center" wrapText="1"/>
    </xf>
    <xf numFmtId="165" fontId="28" fillId="11" borderId="4" xfId="4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4" fillId="9" borderId="0" xfId="7" applyFont="1" applyFill="1" applyAlignment="1" applyProtection="1">
      <alignment horizontal="right" vertical="center"/>
    </xf>
    <xf numFmtId="0" fontId="14" fillId="8" borderId="0" xfId="7" applyFont="1" applyFill="1" applyAlignment="1" applyProtection="1">
      <alignment horizontal="right" vertical="center"/>
    </xf>
    <xf numFmtId="3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64" fontId="2" fillId="0" borderId="1" xfId="0" applyNumberFormat="1" applyFont="1" applyBorder="1" applyAlignment="1">
      <alignment horizontal="left"/>
    </xf>
    <xf numFmtId="22" fontId="12" fillId="0" borderId="5" xfId="0" applyNumberFormat="1" applyFont="1" applyBorder="1" applyAlignment="1">
      <alignment horizontal="center" vertical="center"/>
    </xf>
    <xf numFmtId="41" fontId="3" fillId="7" borderId="0" xfId="3" applyFont="1" applyFill="1" applyAlignment="1">
      <alignment horizontal="right" vertical="center"/>
    </xf>
    <xf numFmtId="41" fontId="25" fillId="12" borderId="2" xfId="3" applyFont="1" applyFill="1" applyBorder="1" applyAlignment="1">
      <alignment horizontal="right" vertical="center" wrapText="1"/>
    </xf>
    <xf numFmtId="41" fontId="36" fillId="12" borderId="2" xfId="3" applyFont="1" applyFill="1" applyBorder="1" applyAlignment="1">
      <alignment horizontal="right" vertical="center" wrapText="1"/>
    </xf>
    <xf numFmtId="41" fontId="39" fillId="0" borderId="0" xfId="0" applyNumberFormat="1" applyFont="1" applyAlignment="1">
      <alignment vertical="top"/>
    </xf>
    <xf numFmtId="0" fontId="34" fillId="0" borderId="4" xfId="1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23" fillId="13" borderId="4" xfId="1" applyFont="1" applyFill="1" applyBorder="1" applyAlignment="1">
      <alignment horizontal="right" vertical="center" wrapText="1"/>
    </xf>
    <xf numFmtId="0" fontId="23" fillId="13" borderId="4" xfId="1" applyFont="1" applyFill="1" applyBorder="1" applyAlignment="1">
      <alignment horizontal="right" vertical="center"/>
    </xf>
    <xf numFmtId="0" fontId="24" fillId="13" borderId="4" xfId="1" applyFont="1" applyFill="1" applyBorder="1" applyAlignment="1">
      <alignment horizontal="right" vertical="center"/>
    </xf>
  </cellXfs>
  <cellStyles count="22">
    <cellStyle name="Comma" xfId="5" builtinId="3"/>
    <cellStyle name="Comma [0]" xfId="3" builtinId="6"/>
    <cellStyle name="Comma [0] 2" xfId="2" xr:uid="{00000000-0005-0000-0000-000002000000}"/>
    <cellStyle name="Comma 2" xfId="4" xr:uid="{00000000-0005-0000-0000-000004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1" xr:uid="{00000000-0005-0000-0000-000001000000}"/>
    <cellStyle name="Normal 3" xfId="6" xr:uid="{00000000-0005-0000-0000-000006000000}"/>
    <cellStyle name="Normal 4" xfId="9" xr:uid="{00000000-0005-0000-0000-000009000000}"/>
    <cellStyle name="Style 10" xfId="18" xr:uid="{00000000-0005-0000-0000-000012000000}"/>
    <cellStyle name="Style 11" xfId="19" xr:uid="{00000000-0005-0000-0000-000013000000}"/>
    <cellStyle name="Style 12" xfId="20" xr:uid="{00000000-0005-0000-0000-000014000000}"/>
    <cellStyle name="Style 13" xfId="21" xr:uid="{00000000-0005-0000-0000-000015000000}"/>
    <cellStyle name="Style 2" xfId="10" xr:uid="{00000000-0005-0000-0000-00000A000000}"/>
    <cellStyle name="Style 3" xfId="11" xr:uid="{00000000-0005-0000-0000-00000B000000}"/>
    <cellStyle name="Style 4" xfId="12" xr:uid="{00000000-0005-0000-0000-00000C000000}"/>
    <cellStyle name="Style 5" xfId="13" xr:uid="{00000000-0005-0000-0000-00000D000000}"/>
    <cellStyle name="Style 6" xfId="14" xr:uid="{00000000-0005-0000-0000-00000E000000}"/>
    <cellStyle name="Style 7" xfId="15" xr:uid="{00000000-0005-0000-0000-00000F000000}"/>
    <cellStyle name="Style 8" xfId="16" xr:uid="{00000000-0005-0000-0000-000010000000}"/>
    <cellStyle name="Style 9" xfId="17" xr:uid="{00000000-0005-0000-0000-00001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47"/>
  <sheetViews>
    <sheetView tabSelected="1" zoomScale="85" zoomScaleNormal="85" workbookViewId="0">
      <selection activeCell="L33" sqref="L33"/>
    </sheetView>
  </sheetViews>
  <sheetFormatPr defaultColWidth="10" defaultRowHeight="15"/>
  <cols>
    <col min="2" max="2" width="4.7109375" customWidth="1"/>
    <col min="3" max="3" width="15.140625" customWidth="1"/>
    <col min="4" max="4" width="13.28515625" customWidth="1"/>
    <col min="5" max="5" width="11.85546875" customWidth="1"/>
    <col min="6" max="6" width="10.85546875" bestFit="1" customWidth="1"/>
    <col min="7" max="14" width="7.7109375" customWidth="1"/>
    <col min="15" max="15" width="7.28515625" customWidth="1"/>
    <col min="16" max="16" width="10.85546875" customWidth="1"/>
    <col min="17" max="21" width="13.7109375" customWidth="1"/>
    <col min="22" max="22" width="17.85546875" bestFit="1" customWidth="1"/>
    <col min="23" max="23" width="11.42578125" customWidth="1"/>
    <col min="24" max="25" width="13.7109375" customWidth="1"/>
    <col min="26" max="26" width="15.140625" bestFit="1" customWidth="1"/>
    <col min="27" max="27" width="4.85546875" customWidth="1"/>
    <col min="28" max="28" width="3.7109375" customWidth="1"/>
    <col min="29" max="29" width="5.5703125" customWidth="1"/>
    <col min="30" max="30" width="3.28515625" customWidth="1"/>
    <col min="34" max="34" width="10.140625" customWidth="1"/>
    <col min="38" max="38" width="15.85546875" bestFit="1" customWidth="1"/>
    <col min="39" max="39" width="13" bestFit="1" customWidth="1"/>
    <col min="41" max="41" width="10.85546875" bestFit="1" customWidth="1"/>
    <col min="43" max="43" width="14.28515625" customWidth="1"/>
  </cols>
  <sheetData>
    <row r="1" spans="1:42" ht="15.7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2" ht="26.2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42" ht="26.25">
      <c r="A3" s="2"/>
      <c r="B3" s="149">
        <v>46174</v>
      </c>
      <c r="C3" s="149"/>
      <c r="D3" s="149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2" ht="45">
      <c r="A4" s="2"/>
      <c r="B4" s="4" t="s">
        <v>1</v>
      </c>
      <c r="C4" s="4" t="s">
        <v>2</v>
      </c>
      <c r="D4" s="5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4</v>
      </c>
      <c r="S4" s="4" t="s">
        <v>5</v>
      </c>
      <c r="T4" s="4" t="s">
        <v>6</v>
      </c>
      <c r="U4" s="4" t="s">
        <v>17</v>
      </c>
      <c r="V4" s="4" t="s">
        <v>18</v>
      </c>
      <c r="W4" s="4" t="s">
        <v>62</v>
      </c>
      <c r="X4" s="4" t="s">
        <v>19</v>
      </c>
      <c r="Y4" s="4" t="s">
        <v>20</v>
      </c>
      <c r="Z4" s="4" t="s">
        <v>21</v>
      </c>
      <c r="AE4" s="6" t="s">
        <v>21</v>
      </c>
      <c r="AF4" s="7" t="s">
        <v>22</v>
      </c>
      <c r="AG4" s="7" t="s">
        <v>23</v>
      </c>
      <c r="AH4" s="4" t="s">
        <v>21</v>
      </c>
      <c r="AI4" s="142" t="s">
        <v>22</v>
      </c>
      <c r="AJ4" s="143"/>
      <c r="AL4" t="s">
        <v>24</v>
      </c>
    </row>
    <row r="5" spans="1:42" ht="26.1" customHeight="1">
      <c r="A5" s="2"/>
      <c r="B5" s="8">
        <v>1</v>
      </c>
      <c r="C5" s="70" t="s">
        <v>58</v>
      </c>
      <c r="D5" s="104" t="s">
        <v>59</v>
      </c>
      <c r="E5" s="105" t="s">
        <v>63</v>
      </c>
      <c r="F5" s="106" t="s">
        <v>64</v>
      </c>
      <c r="G5" s="106"/>
      <c r="H5" s="106"/>
      <c r="I5" s="107" t="s">
        <v>36</v>
      </c>
      <c r="J5" s="106"/>
      <c r="K5" s="106"/>
      <c r="L5" s="108">
        <v>57</v>
      </c>
      <c r="M5" s="108"/>
      <c r="N5" s="109">
        <v>80</v>
      </c>
      <c r="O5" s="157">
        <v>24</v>
      </c>
      <c r="P5" s="152">
        <f t="shared" ref="P5:P14" si="0">SUM(L5:O5)</f>
        <v>161</v>
      </c>
      <c r="Q5" s="80">
        <f>((data!$A$3/8)*L5)+((data!$B$3/8)*(M5+N5+O5))+(P5*$E$25)</f>
        <v>792000</v>
      </c>
      <c r="R5" s="80">
        <f t="shared" ref="R5:R14" si="1">IF(D5="Percobaan",0,IF(AND(E5="",G5&gt;0,H5="ok"),100000,IF(AND(E5="",G5&gt;0,H5=""),50000,IF(AND(E5=""),100000,0))))</f>
        <v>0</v>
      </c>
      <c r="S5" s="80">
        <v>0</v>
      </c>
      <c r="T5" s="80">
        <f t="shared" ref="T5:T7" si="2">IF(AND(G5&gt;0,H5=""),50000,IF(AND(G5&gt;0,H5="ok"),G5*50000,0))</f>
        <v>0</v>
      </c>
      <c r="U5" s="80">
        <f>IF(I5="+",P5/8*3000,IF(I5="-",0,P5/8*2000))</f>
        <v>0</v>
      </c>
      <c r="V5" s="110">
        <f t="shared" ref="V5:V7" si="3">J5*-12500</f>
        <v>0</v>
      </c>
      <c r="W5" s="80"/>
      <c r="X5" s="80"/>
      <c r="Y5" s="111">
        <v>8400</v>
      </c>
      <c r="Z5" s="80">
        <f t="shared" ref="Z5:Z16" si="4">CEILING(SUM(Q5:Y5),500)</f>
        <v>800500</v>
      </c>
      <c r="AE5">
        <f t="shared" ref="AE5:AE16" si="5">P5/8</f>
        <v>20.125</v>
      </c>
      <c r="AG5">
        <f t="shared" ref="AG5:AG11" si="6">AE5-AF5</f>
        <v>20.125</v>
      </c>
      <c r="AH5">
        <f>AE5+AJ5</f>
        <v>20.125</v>
      </c>
      <c r="AI5" s="11"/>
      <c r="AJ5">
        <f>AI5/8</f>
        <v>0</v>
      </c>
      <c r="AL5" s="12">
        <v>565000</v>
      </c>
      <c r="AM5" t="str">
        <f>C5</f>
        <v>Andra</v>
      </c>
      <c r="AO5" s="13"/>
      <c r="AP5">
        <f>AO5*AN5</f>
        <v>0</v>
      </c>
    </row>
    <row r="6" spans="1:42" ht="26.1" customHeight="1">
      <c r="A6" s="2"/>
      <c r="B6" s="8">
        <v>3</v>
      </c>
      <c r="C6" s="70" t="s">
        <v>25</v>
      </c>
      <c r="D6" s="83" t="s">
        <v>3</v>
      </c>
      <c r="E6" s="105" t="s">
        <v>65</v>
      </c>
      <c r="F6" s="112"/>
      <c r="G6" s="112">
        <v>1</v>
      </c>
      <c r="H6" s="112"/>
      <c r="I6" s="137"/>
      <c r="J6" s="106"/>
      <c r="K6" s="112"/>
      <c r="L6" s="114">
        <v>3</v>
      </c>
      <c r="M6" s="109">
        <v>108</v>
      </c>
      <c r="N6" s="109">
        <v>94</v>
      </c>
      <c r="O6" s="115"/>
      <c r="P6" s="78">
        <f t="shared" si="0"/>
        <v>205</v>
      </c>
      <c r="Q6" s="80">
        <f>((data!$A$3/8)*L6)+((data!$B$3/8)*(M6+N6+O6))+(P6*$E$25)</f>
        <v>999750</v>
      </c>
      <c r="R6" s="80">
        <f t="shared" si="1"/>
        <v>0</v>
      </c>
      <c r="S6" s="80">
        <f t="shared" ref="S5:S8" si="7">((P6/8)*1000)</f>
        <v>25625</v>
      </c>
      <c r="T6" s="80">
        <f t="shared" si="2"/>
        <v>50000</v>
      </c>
      <c r="U6" s="80">
        <f>IF(I6="+",P6/8*3000,IF(I6="-",0,P6/8*2000))</f>
        <v>51250</v>
      </c>
      <c r="V6" s="110">
        <f t="shared" si="3"/>
        <v>0</v>
      </c>
      <c r="W6" s="80"/>
      <c r="X6" s="80">
        <v>0</v>
      </c>
      <c r="Y6" s="111"/>
      <c r="Z6" s="80">
        <f t="shared" si="4"/>
        <v>1127000</v>
      </c>
      <c r="AE6">
        <f t="shared" si="5"/>
        <v>25.625</v>
      </c>
      <c r="AG6">
        <f t="shared" si="6"/>
        <v>25.625</v>
      </c>
      <c r="AH6">
        <f t="shared" ref="AH6:AH16" si="8">AE6+AJ6</f>
        <v>25.625</v>
      </c>
      <c r="AI6" s="14"/>
      <c r="AJ6">
        <f t="shared" ref="AJ6:AJ15" si="9">AI6/8</f>
        <v>0</v>
      </c>
      <c r="AL6" s="12">
        <v>774500</v>
      </c>
      <c r="AM6" t="str">
        <f t="shared" ref="AM6:AM18" si="10">C6</f>
        <v>Arif</v>
      </c>
      <c r="AO6" s="13"/>
      <c r="AP6">
        <f t="shared" ref="AP6:AP17" si="11">AO6*AN6</f>
        <v>0</v>
      </c>
    </row>
    <row r="7" spans="1:42" s="1" customFormat="1" ht="26.1" customHeight="1">
      <c r="A7" s="15"/>
      <c r="B7" s="102">
        <v>2</v>
      </c>
      <c r="C7" s="83" t="s">
        <v>26</v>
      </c>
      <c r="D7" s="83" t="s">
        <v>27</v>
      </c>
      <c r="E7" s="155" t="s">
        <v>65</v>
      </c>
      <c r="F7" s="72"/>
      <c r="G7" s="72"/>
      <c r="H7" s="72"/>
      <c r="I7" s="137" t="s">
        <v>36</v>
      </c>
      <c r="J7" s="73"/>
      <c r="K7" s="72"/>
      <c r="L7" s="75"/>
      <c r="M7" s="75">
        <v>8</v>
      </c>
      <c r="N7" s="116">
        <v>49</v>
      </c>
      <c r="O7" s="75"/>
      <c r="P7" s="152">
        <f t="shared" si="0"/>
        <v>57</v>
      </c>
      <c r="Q7" s="80">
        <f>((data!$A$3/8)*L7)+((data!$B$3/8)*(M7+N7+O7))+(P7*$E$25)</f>
        <v>277875</v>
      </c>
      <c r="R7" s="80">
        <f t="shared" si="1"/>
        <v>0</v>
      </c>
      <c r="S7" s="80">
        <f t="shared" si="7"/>
        <v>7125</v>
      </c>
      <c r="T7" s="80">
        <f t="shared" si="2"/>
        <v>0</v>
      </c>
      <c r="U7" s="80">
        <f>IF(I7="+",P7/8*3000,IF(I7="-",0,P7/8*2000))</f>
        <v>0</v>
      </c>
      <c r="V7" s="110">
        <f t="shared" si="3"/>
        <v>0</v>
      </c>
      <c r="W7" s="80"/>
      <c r="X7" s="80">
        <v>0</v>
      </c>
      <c r="Y7" s="117">
        <v>3000</v>
      </c>
      <c r="Z7" s="80">
        <f t="shared" si="4"/>
        <v>288000</v>
      </c>
      <c r="AA7" s="103"/>
      <c r="AB7" s="103"/>
      <c r="AC7" s="103"/>
      <c r="AD7" s="103"/>
      <c r="AE7" s="103">
        <f t="shared" si="5"/>
        <v>7.125</v>
      </c>
      <c r="AF7" s="103"/>
      <c r="AG7" s="103">
        <f t="shared" si="6"/>
        <v>7.125</v>
      </c>
      <c r="AH7" s="1">
        <f t="shared" si="8"/>
        <v>7.125</v>
      </c>
      <c r="AI7" s="16"/>
      <c r="AJ7" s="1">
        <f t="shared" si="9"/>
        <v>0</v>
      </c>
      <c r="AL7" s="17">
        <v>959000</v>
      </c>
      <c r="AM7" s="1" t="str">
        <f t="shared" si="10"/>
        <v>Firman</v>
      </c>
      <c r="AO7" s="18"/>
      <c r="AP7" s="1">
        <f t="shared" si="11"/>
        <v>0</v>
      </c>
    </row>
    <row r="8" spans="1:42" ht="26.1" customHeight="1">
      <c r="A8" s="2"/>
      <c r="B8" s="8">
        <v>4</v>
      </c>
      <c r="C8" s="92" t="s">
        <v>28</v>
      </c>
      <c r="D8" s="92" t="s">
        <v>3</v>
      </c>
      <c r="E8" s="138"/>
      <c r="F8" s="94"/>
      <c r="G8" s="94">
        <v>1</v>
      </c>
      <c r="H8" s="94"/>
      <c r="I8" s="95"/>
      <c r="J8" s="93"/>
      <c r="K8" s="94"/>
      <c r="L8" s="96"/>
      <c r="M8" s="97">
        <v>22</v>
      </c>
      <c r="N8" s="96"/>
      <c r="O8" s="96">
        <v>180</v>
      </c>
      <c r="P8" s="98">
        <f t="shared" si="0"/>
        <v>202</v>
      </c>
      <c r="Q8" s="99">
        <f>((data!$A$3/8)*L8)+((data!$B$3/8)*(M8+N8+O8))+(P8*$E$25)</f>
        <v>984750</v>
      </c>
      <c r="R8" s="139" t="s">
        <v>36</v>
      </c>
      <c r="S8" s="99">
        <f t="shared" si="7"/>
        <v>25250</v>
      </c>
      <c r="T8" s="99">
        <f t="shared" ref="T8:T16" si="12">IF(AND(G8&gt;0,H8=""),50000,IF(AND(G8&gt;0,H8="ok"),G8*50000,0))</f>
        <v>50000</v>
      </c>
      <c r="U8" s="99">
        <f>IF(I8="+",P8/8*3000,IF(I8="-",0,P8/8*2000))</f>
        <v>50500</v>
      </c>
      <c r="V8" s="100">
        <f t="shared" ref="V8:V16" si="13">J8*-12500</f>
        <v>0</v>
      </c>
      <c r="W8" s="140"/>
      <c r="X8" s="99">
        <v>0</v>
      </c>
      <c r="Y8" s="141">
        <v>400</v>
      </c>
      <c r="Z8" s="99">
        <f t="shared" si="4"/>
        <v>1111000</v>
      </c>
      <c r="AE8">
        <f t="shared" si="5"/>
        <v>25.25</v>
      </c>
      <c r="AG8">
        <f t="shared" si="6"/>
        <v>25.25</v>
      </c>
      <c r="AH8">
        <f t="shared" si="8"/>
        <v>25.25</v>
      </c>
      <c r="AI8" s="14"/>
      <c r="AJ8">
        <f t="shared" si="9"/>
        <v>0</v>
      </c>
      <c r="AL8" s="12">
        <v>1158000</v>
      </c>
      <c r="AM8" t="str">
        <f t="shared" ref="AM8:AM15" si="14">C8</f>
        <v>Gilang</v>
      </c>
      <c r="AO8" s="13"/>
      <c r="AP8">
        <f t="shared" si="11"/>
        <v>0</v>
      </c>
    </row>
    <row r="9" spans="1:42" ht="26.1" customHeight="1">
      <c r="A9" s="2"/>
      <c r="B9" s="8">
        <v>5</v>
      </c>
      <c r="C9" s="70" t="s">
        <v>29</v>
      </c>
      <c r="D9" s="104" t="s">
        <v>3</v>
      </c>
      <c r="E9" s="105"/>
      <c r="F9" s="112"/>
      <c r="G9" s="112"/>
      <c r="H9" s="112"/>
      <c r="I9" s="113" t="s">
        <v>36</v>
      </c>
      <c r="J9" s="106"/>
      <c r="K9" s="112"/>
      <c r="L9" s="109">
        <v>8</v>
      </c>
      <c r="M9" s="115">
        <v>24</v>
      </c>
      <c r="N9" s="109">
        <v>140</v>
      </c>
      <c r="O9" s="158">
        <v>8</v>
      </c>
      <c r="P9" s="152">
        <f t="shared" si="0"/>
        <v>180</v>
      </c>
      <c r="Q9" s="80">
        <f>((data!$A$3/8)*L9)+((data!$B$3/8)*(M9+N9+O9))+(P9*$E$25)</f>
        <v>878500</v>
      </c>
      <c r="R9" s="80">
        <v>0</v>
      </c>
      <c r="S9" s="80">
        <f t="shared" ref="S9:S17" si="15">((P9/8)*1000)</f>
        <v>22500</v>
      </c>
      <c r="T9" s="80">
        <f t="shared" si="12"/>
        <v>0</v>
      </c>
      <c r="U9" s="80">
        <f t="shared" ref="U9:U12" si="16">IF(I9="+",P9/8*3000,IF(I9="-",0,P9/8*2000))</f>
        <v>0</v>
      </c>
      <c r="V9" s="110">
        <f t="shared" si="13"/>
        <v>0</v>
      </c>
      <c r="W9" s="80"/>
      <c r="X9" s="80">
        <v>0</v>
      </c>
      <c r="Y9" s="118">
        <v>14400</v>
      </c>
      <c r="Z9" s="80">
        <f t="shared" si="4"/>
        <v>915500</v>
      </c>
      <c r="AE9">
        <f t="shared" si="5"/>
        <v>22.5</v>
      </c>
      <c r="AG9">
        <f t="shared" si="6"/>
        <v>22.5</v>
      </c>
      <c r="AH9">
        <f t="shared" si="8"/>
        <v>22.5</v>
      </c>
      <c r="AI9" s="14"/>
      <c r="AJ9">
        <f t="shared" si="9"/>
        <v>0</v>
      </c>
      <c r="AL9" s="12">
        <v>812500</v>
      </c>
      <c r="AM9" t="str">
        <f t="shared" si="14"/>
        <v>Henbediona</v>
      </c>
      <c r="AO9" s="13"/>
      <c r="AP9">
        <f t="shared" si="11"/>
        <v>0</v>
      </c>
    </row>
    <row r="10" spans="1:42" ht="26.1" customHeight="1">
      <c r="A10" s="2"/>
      <c r="B10" s="8">
        <v>6</v>
      </c>
      <c r="C10" s="70" t="s">
        <v>30</v>
      </c>
      <c r="D10" s="104" t="s">
        <v>27</v>
      </c>
      <c r="E10" s="105" t="s">
        <v>65</v>
      </c>
      <c r="F10" s="112"/>
      <c r="G10" s="112"/>
      <c r="H10" s="112"/>
      <c r="I10" s="137" t="s">
        <v>36</v>
      </c>
      <c r="J10" s="106"/>
      <c r="K10" s="112"/>
      <c r="L10" s="109"/>
      <c r="M10" s="109">
        <v>23</v>
      </c>
      <c r="N10" s="114">
        <v>79</v>
      </c>
      <c r="O10" s="159">
        <v>8</v>
      </c>
      <c r="P10" s="152">
        <f t="shared" si="0"/>
        <v>110</v>
      </c>
      <c r="Q10" s="80">
        <f>((data!$A$3/8)*L10)+((data!$B$3/8)*(M10+N10+O10))+(P10*$E$25)</f>
        <v>536250</v>
      </c>
      <c r="R10" s="80">
        <f t="shared" si="1"/>
        <v>0</v>
      </c>
      <c r="S10" s="80">
        <f t="shared" si="15"/>
        <v>13750</v>
      </c>
      <c r="T10" s="80">
        <f t="shared" si="12"/>
        <v>0</v>
      </c>
      <c r="U10" s="80">
        <f t="shared" si="16"/>
        <v>0</v>
      </c>
      <c r="V10" s="110">
        <f t="shared" si="13"/>
        <v>0</v>
      </c>
      <c r="W10" s="80"/>
      <c r="X10" s="80">
        <v>0</v>
      </c>
      <c r="Y10" s="111">
        <v>800</v>
      </c>
      <c r="Z10" s="80">
        <f t="shared" si="4"/>
        <v>551000</v>
      </c>
      <c r="AE10">
        <f t="shared" si="5"/>
        <v>13.75</v>
      </c>
      <c r="AG10">
        <f t="shared" si="6"/>
        <v>13.75</v>
      </c>
      <c r="AH10">
        <f t="shared" si="8"/>
        <v>13.75</v>
      </c>
      <c r="AI10" s="14"/>
      <c r="AJ10">
        <f t="shared" si="9"/>
        <v>0</v>
      </c>
      <c r="AL10" s="12">
        <v>1232000</v>
      </c>
      <c r="AM10" t="str">
        <f t="shared" si="14"/>
        <v>Iman</v>
      </c>
      <c r="AO10" s="13"/>
      <c r="AP10">
        <f t="shared" si="11"/>
        <v>0</v>
      </c>
    </row>
    <row r="11" spans="1:42" ht="26.1" customHeight="1">
      <c r="A11" s="19"/>
      <c r="B11" s="20">
        <v>7</v>
      </c>
      <c r="C11" s="70" t="s">
        <v>66</v>
      </c>
      <c r="D11" s="104" t="s">
        <v>59</v>
      </c>
      <c r="E11" s="105" t="s">
        <v>65</v>
      </c>
      <c r="F11" s="112" t="s">
        <v>67</v>
      </c>
      <c r="G11" s="112"/>
      <c r="H11" s="112"/>
      <c r="I11" s="137" t="s">
        <v>36</v>
      </c>
      <c r="J11" s="106"/>
      <c r="K11" s="112"/>
      <c r="L11" s="115"/>
      <c r="M11" s="109">
        <v>156</v>
      </c>
      <c r="N11" s="115">
        <v>2</v>
      </c>
      <c r="O11" s="159">
        <v>1</v>
      </c>
      <c r="P11" s="152">
        <f t="shared" si="0"/>
        <v>159</v>
      </c>
      <c r="Q11" s="79">
        <f>((data!$A$3/8)*L11)+((data!$B$3/8)*(M11+N11+O11))+(P11*$E$25)</f>
        <v>775125</v>
      </c>
      <c r="R11" s="79">
        <f t="shared" si="1"/>
        <v>0</v>
      </c>
      <c r="S11" s="80">
        <v>0</v>
      </c>
      <c r="T11" s="79">
        <f t="shared" si="12"/>
        <v>0</v>
      </c>
      <c r="U11" s="80">
        <f t="shared" si="16"/>
        <v>0</v>
      </c>
      <c r="V11" s="81">
        <f t="shared" si="13"/>
        <v>0</v>
      </c>
      <c r="W11" s="80"/>
      <c r="X11" s="80">
        <v>90000</v>
      </c>
      <c r="Y11" s="111">
        <v>4000</v>
      </c>
      <c r="Z11" s="79">
        <f t="shared" si="4"/>
        <v>869500</v>
      </c>
      <c r="AE11">
        <f t="shared" si="5"/>
        <v>19.875</v>
      </c>
      <c r="AG11">
        <f t="shared" si="6"/>
        <v>19.875</v>
      </c>
      <c r="AH11">
        <f t="shared" si="8"/>
        <v>19.875</v>
      </c>
      <c r="AI11" s="22"/>
      <c r="AJ11">
        <f t="shared" si="9"/>
        <v>0</v>
      </c>
      <c r="AL11" s="12">
        <v>1010500</v>
      </c>
      <c r="AM11" t="str">
        <f t="shared" si="14"/>
        <v>Rama</v>
      </c>
      <c r="AO11" s="23"/>
      <c r="AP11">
        <f t="shared" si="11"/>
        <v>0</v>
      </c>
    </row>
    <row r="12" spans="1:42" ht="26.1" customHeight="1">
      <c r="A12" s="19"/>
      <c r="B12" s="20">
        <v>9</v>
      </c>
      <c r="C12" s="71" t="s">
        <v>31</v>
      </c>
      <c r="D12" s="83" t="s">
        <v>3</v>
      </c>
      <c r="E12" s="155" t="s">
        <v>65</v>
      </c>
      <c r="F12" s="72" t="s">
        <v>67</v>
      </c>
      <c r="G12" s="72">
        <v>1</v>
      </c>
      <c r="H12" s="72"/>
      <c r="I12" s="74" t="s">
        <v>60</v>
      </c>
      <c r="J12" s="106"/>
      <c r="K12" s="72"/>
      <c r="L12" s="75">
        <v>205</v>
      </c>
      <c r="M12" s="76">
        <v>16</v>
      </c>
      <c r="N12" s="76"/>
      <c r="O12" s="77"/>
      <c r="P12" s="152">
        <f t="shared" si="0"/>
        <v>221</v>
      </c>
      <c r="Q12" s="79">
        <f>((data!$A$3/8)*L12)+((data!$B$3/8)*(M12+N12+O12))+(P12*$E$25)</f>
        <v>1103000</v>
      </c>
      <c r="R12" s="79">
        <f t="shared" si="1"/>
        <v>0</v>
      </c>
      <c r="S12" s="79">
        <v>0</v>
      </c>
      <c r="T12" s="79">
        <f t="shared" si="12"/>
        <v>50000</v>
      </c>
      <c r="U12" s="80">
        <f t="shared" si="16"/>
        <v>82875</v>
      </c>
      <c r="V12" s="81">
        <f t="shared" si="13"/>
        <v>0</v>
      </c>
      <c r="W12" s="80"/>
      <c r="X12" s="80">
        <v>0</v>
      </c>
      <c r="Y12" s="82">
        <v>400</v>
      </c>
      <c r="Z12" s="79">
        <f t="shared" si="4"/>
        <v>1236500</v>
      </c>
      <c r="AE12">
        <f t="shared" si="5"/>
        <v>27.625</v>
      </c>
      <c r="AG12">
        <f t="shared" ref="AG12:AG16" si="17">AE12-AF12</f>
        <v>27.625</v>
      </c>
      <c r="AH12">
        <f t="shared" si="8"/>
        <v>27.625</v>
      </c>
      <c r="AI12" s="22"/>
      <c r="AJ12">
        <f t="shared" si="9"/>
        <v>0</v>
      </c>
      <c r="AL12" s="12">
        <v>846000</v>
      </c>
      <c r="AM12" t="str">
        <f t="shared" si="14"/>
        <v>Ridwan</v>
      </c>
      <c r="AO12" s="23"/>
      <c r="AP12">
        <f t="shared" si="11"/>
        <v>0</v>
      </c>
    </row>
    <row r="13" spans="1:42" ht="26.1" customHeight="1">
      <c r="A13" s="19"/>
      <c r="B13" s="20">
        <v>8</v>
      </c>
      <c r="C13" s="119" t="s">
        <v>61</v>
      </c>
      <c r="D13" s="120" t="s">
        <v>59</v>
      </c>
      <c r="E13" s="156" t="s">
        <v>65</v>
      </c>
      <c r="F13" s="122" t="s">
        <v>67</v>
      </c>
      <c r="G13" s="122">
        <v>0</v>
      </c>
      <c r="H13" s="122"/>
      <c r="I13" s="137" t="s">
        <v>60</v>
      </c>
      <c r="J13" s="121"/>
      <c r="K13" s="122"/>
      <c r="L13" s="123">
        <v>207</v>
      </c>
      <c r="M13" s="124">
        <v>4</v>
      </c>
      <c r="N13" s="124"/>
      <c r="O13" s="101"/>
      <c r="P13" s="152">
        <f t="shared" si="0"/>
        <v>211</v>
      </c>
      <c r="Q13" s="79">
        <f>((data!$A$3/8)*L13)+((data!$B$3/8)*(M13+N13+O13))+(P13*$E$25)</f>
        <v>1054500</v>
      </c>
      <c r="R13" s="79">
        <f t="shared" si="1"/>
        <v>0</v>
      </c>
      <c r="S13" s="79">
        <v>0</v>
      </c>
      <c r="T13" s="79">
        <f t="shared" si="12"/>
        <v>0</v>
      </c>
      <c r="U13" s="80">
        <f t="shared" ref="U13:U14" si="18">IF(OR(D13="Percobaan",D13=""),0,IF(I13="+",P13/8*3000,IF(I13="-",0,P13/8*2000)))</f>
        <v>0</v>
      </c>
      <c r="V13" s="81">
        <f t="shared" si="13"/>
        <v>0</v>
      </c>
      <c r="W13" s="80">
        <v>80000</v>
      </c>
      <c r="X13" s="79">
        <v>0</v>
      </c>
      <c r="Y13" s="79">
        <v>5600</v>
      </c>
      <c r="Z13" s="79">
        <f>CEILING(SUM(Q13:Y13),500)</f>
        <v>1140500</v>
      </c>
      <c r="AE13">
        <f t="shared" si="5"/>
        <v>26.375</v>
      </c>
      <c r="AG13">
        <f t="shared" si="17"/>
        <v>26.375</v>
      </c>
      <c r="AH13">
        <f t="shared" si="8"/>
        <v>26.375</v>
      </c>
      <c r="AI13" s="22"/>
      <c r="AJ13">
        <f t="shared" si="9"/>
        <v>0</v>
      </c>
      <c r="AL13" s="12">
        <v>1414000</v>
      </c>
      <c r="AM13" t="str">
        <f t="shared" si="14"/>
        <v>Vio</v>
      </c>
      <c r="AO13" s="23"/>
      <c r="AP13">
        <f t="shared" si="11"/>
        <v>0</v>
      </c>
    </row>
    <row r="14" spans="1:42" ht="26.1" customHeight="1">
      <c r="A14" s="2"/>
      <c r="B14" s="8">
        <v>10</v>
      </c>
      <c r="C14" s="125" t="s">
        <v>35</v>
      </c>
      <c r="D14" s="120" t="s">
        <v>3</v>
      </c>
      <c r="E14" s="126"/>
      <c r="F14" s="127"/>
      <c r="G14" s="127">
        <v>1</v>
      </c>
      <c r="H14" s="127"/>
      <c r="I14" s="128"/>
      <c r="J14" s="126"/>
      <c r="K14" s="127"/>
      <c r="L14" s="129"/>
      <c r="M14" s="129">
        <v>110</v>
      </c>
      <c r="N14" s="129">
        <v>4</v>
      </c>
      <c r="O14" s="129">
        <v>80</v>
      </c>
      <c r="P14" s="153">
        <f t="shared" si="0"/>
        <v>194</v>
      </c>
      <c r="Q14" s="80">
        <f>((data!$A$3/8)*L14)+((data!$B$3/8)*(M14+N14+O14))+(P14*$E$25)</f>
        <v>945750</v>
      </c>
      <c r="R14" s="80">
        <f t="shared" si="1"/>
        <v>50000</v>
      </c>
      <c r="S14" s="80">
        <f t="shared" si="15"/>
        <v>24250</v>
      </c>
      <c r="T14" s="80">
        <f t="shared" si="12"/>
        <v>50000</v>
      </c>
      <c r="U14" s="79">
        <f t="shared" si="18"/>
        <v>48500</v>
      </c>
      <c r="V14" s="110">
        <f t="shared" si="13"/>
        <v>0</v>
      </c>
      <c r="W14" s="80"/>
      <c r="X14" s="79"/>
      <c r="Y14" s="80">
        <v>9200</v>
      </c>
      <c r="Z14" s="80">
        <f t="shared" si="4"/>
        <v>1128000</v>
      </c>
      <c r="AE14">
        <f t="shared" si="5"/>
        <v>24.25</v>
      </c>
      <c r="AG14">
        <f t="shared" si="17"/>
        <v>24.25</v>
      </c>
      <c r="AH14">
        <f t="shared" si="8"/>
        <v>24.25</v>
      </c>
      <c r="AI14" s="14"/>
      <c r="AJ14">
        <f t="shared" si="9"/>
        <v>0</v>
      </c>
      <c r="AL14" s="12">
        <v>1131000</v>
      </c>
      <c r="AM14" t="str">
        <f t="shared" si="14"/>
        <v>Yulika</v>
      </c>
      <c r="AO14" s="13"/>
      <c r="AP14">
        <f t="shared" si="11"/>
        <v>0</v>
      </c>
    </row>
    <row r="15" spans="1:42" ht="26.1" customHeight="1">
      <c r="A15" s="2"/>
      <c r="B15" s="8">
        <v>11</v>
      </c>
      <c r="C15" s="131" t="s">
        <v>36</v>
      </c>
      <c r="D15" s="132"/>
      <c r="E15" s="133"/>
      <c r="F15" s="134"/>
      <c r="G15" s="134"/>
      <c r="H15" s="134"/>
      <c r="I15" s="135"/>
      <c r="J15" s="133"/>
      <c r="K15" s="134"/>
      <c r="L15" s="136"/>
      <c r="M15" s="136"/>
      <c r="N15" s="136"/>
      <c r="O15" s="136"/>
      <c r="P15" s="130">
        <f t="shared" ref="P15:P18" si="19">SUM(L15:O15)</f>
        <v>0</v>
      </c>
      <c r="Q15" s="80">
        <f>((data!$A$3/8)*L15)+((data!$B$3/8)*(M15+N15+O15))+(P15*$E$25)</f>
        <v>0</v>
      </c>
      <c r="R15" s="80"/>
      <c r="S15" s="80">
        <f t="shared" si="15"/>
        <v>0</v>
      </c>
      <c r="T15" s="80">
        <f t="shared" si="12"/>
        <v>0</v>
      </c>
      <c r="U15" s="80">
        <f>IF(I15="+",P15/8*3000,IF(I15="-",0,P15/8*2000))</f>
        <v>0</v>
      </c>
      <c r="V15" s="110">
        <f t="shared" si="13"/>
        <v>0</v>
      </c>
      <c r="W15" s="80"/>
      <c r="X15" s="79">
        <v>0</v>
      </c>
      <c r="Y15" s="80"/>
      <c r="Z15" s="80"/>
      <c r="AE15">
        <f t="shared" si="5"/>
        <v>0</v>
      </c>
      <c r="AG15">
        <f t="shared" si="17"/>
        <v>0</v>
      </c>
      <c r="AH15">
        <f t="shared" si="8"/>
        <v>0</v>
      </c>
      <c r="AJ15">
        <f t="shared" si="9"/>
        <v>0</v>
      </c>
      <c r="AL15" s="12">
        <v>1055000</v>
      </c>
      <c r="AM15" t="str">
        <f t="shared" si="14"/>
        <v>-</v>
      </c>
      <c r="AO15" s="13"/>
      <c r="AP15">
        <f t="shared" si="11"/>
        <v>0</v>
      </c>
    </row>
    <row r="16" spans="1:42" ht="26.1" hidden="1" customHeight="1">
      <c r="A16" s="2"/>
      <c r="B16" s="8">
        <v>12</v>
      </c>
      <c r="C16" s="27" t="s">
        <v>36</v>
      </c>
      <c r="D16" s="24"/>
      <c r="E16" s="8"/>
      <c r="F16" s="28"/>
      <c r="G16" s="29"/>
      <c r="H16" s="29"/>
      <c r="I16" s="25"/>
      <c r="J16" s="28"/>
      <c r="K16" s="30"/>
      <c r="L16" s="14"/>
      <c r="M16" s="14"/>
      <c r="N16" s="14"/>
      <c r="O16" s="14"/>
      <c r="P16" s="26">
        <f t="shared" si="19"/>
        <v>0</v>
      </c>
      <c r="Q16" s="9">
        <f>((data!$A$3/8)*L16)+((data!$B$3/8)*(M16+N16+O16))+(P16*$E$25)</f>
        <v>0</v>
      </c>
      <c r="R16" s="9"/>
      <c r="S16" s="9">
        <f t="shared" si="15"/>
        <v>0</v>
      </c>
      <c r="T16" s="9">
        <f t="shared" si="12"/>
        <v>0</v>
      </c>
      <c r="U16" s="9">
        <f>IF(I16="+",P16/8*3000,IF(I16="-",0,P16/8*2000))</f>
        <v>0</v>
      </c>
      <c r="V16" s="10">
        <f t="shared" si="13"/>
        <v>0</v>
      </c>
      <c r="W16" s="9"/>
      <c r="X16" s="21">
        <f t="shared" ref="X16" si="20">IF(K16="ok",50000+AB16,0+AB16)</f>
        <v>0</v>
      </c>
      <c r="Y16" s="9"/>
      <c r="Z16" s="9">
        <f t="shared" si="4"/>
        <v>0</v>
      </c>
      <c r="AE16">
        <f t="shared" si="5"/>
        <v>0</v>
      </c>
      <c r="AG16">
        <f t="shared" si="17"/>
        <v>0</v>
      </c>
      <c r="AH16">
        <f t="shared" si="8"/>
        <v>0</v>
      </c>
      <c r="AL16" s="12">
        <v>0</v>
      </c>
      <c r="AM16" t="str">
        <f t="shared" si="10"/>
        <v>-</v>
      </c>
      <c r="AO16" s="13"/>
      <c r="AP16">
        <f t="shared" si="11"/>
        <v>0</v>
      </c>
    </row>
    <row r="17" spans="1:42" ht="26.1" hidden="1" customHeight="1">
      <c r="A17" s="2"/>
      <c r="B17" s="8">
        <v>13</v>
      </c>
      <c r="C17" s="27" t="s">
        <v>36</v>
      </c>
      <c r="D17" s="31"/>
      <c r="E17" s="32">
        <v>0</v>
      </c>
      <c r="F17" s="29"/>
      <c r="G17" s="29"/>
      <c r="H17" s="29"/>
      <c r="I17" s="33"/>
      <c r="J17" s="29"/>
      <c r="K17" s="29"/>
      <c r="L17" s="14"/>
      <c r="M17" s="34"/>
      <c r="N17" s="34"/>
      <c r="O17" s="34"/>
      <c r="P17" s="35">
        <f t="shared" si="19"/>
        <v>0</v>
      </c>
      <c r="Q17" s="9">
        <f>((data!$A$3/8)*L17)+((data!$B$3/8)*(M17+N17+O17))+(P17*$E$25)</f>
        <v>0</v>
      </c>
      <c r="R17" s="9">
        <f t="shared" ref="R17" si="21">IF(D17="Percobaan",0,IF(AND(E17="",G17&gt;0,H17="ok"),100000,IF(AND(E17="",G17&gt;0,H17=""),50000,IF(AND(E17=""),100000,0))))</f>
        <v>0</v>
      </c>
      <c r="S17" s="9">
        <f t="shared" si="15"/>
        <v>0</v>
      </c>
      <c r="T17" s="9">
        <f t="shared" ref="T17" si="22">IF(AND(G17&gt;0,H17=""),50000,IF(AND(G17&gt;0,H17="ok"),G17*50000,0))</f>
        <v>0</v>
      </c>
      <c r="U17" s="9">
        <f t="shared" ref="U17" si="23">IF(OR(D17="Percobaan",D17=""),0,IF(I17="+",P17/8*3000,IF(I17="-",0,P17/8*2000)))</f>
        <v>0</v>
      </c>
      <c r="V17" s="10">
        <f t="shared" ref="V17" si="24">J17*-12500</f>
        <v>0</v>
      </c>
      <c r="W17" s="9"/>
      <c r="X17" s="9">
        <f>IF(K17="ok",50000+AB17,0+AB17)</f>
        <v>0</v>
      </c>
      <c r="Y17" s="9"/>
      <c r="Z17" s="9">
        <f t="shared" ref="Z17" si="25">CEILING(SUM(Q17:Y17),500)</f>
        <v>0</v>
      </c>
      <c r="AE17">
        <f t="shared" ref="AE17" si="26">P17/8</f>
        <v>0</v>
      </c>
      <c r="AF17">
        <f t="shared" ref="AF17:AF18" si="27">AE17+AJ17</f>
        <v>0</v>
      </c>
      <c r="AG17">
        <f t="shared" ref="AG17" si="28">AE17-AF17</f>
        <v>0</v>
      </c>
      <c r="AL17" s="12">
        <v>100000</v>
      </c>
      <c r="AM17" t="str">
        <f t="shared" si="10"/>
        <v>-</v>
      </c>
      <c r="AO17" s="13"/>
      <c r="AP17">
        <f t="shared" si="11"/>
        <v>0</v>
      </c>
    </row>
    <row r="18" spans="1:42" ht="26.1" hidden="1" customHeight="1">
      <c r="A18" s="2"/>
      <c r="B18" s="8">
        <v>14</v>
      </c>
      <c r="C18" s="27" t="s">
        <v>36</v>
      </c>
      <c r="D18" s="31"/>
      <c r="E18" s="8">
        <v>0</v>
      </c>
      <c r="F18" s="29"/>
      <c r="G18" s="29"/>
      <c r="H18" s="29"/>
      <c r="I18" s="33" t="s">
        <v>36</v>
      </c>
      <c r="J18" s="29"/>
      <c r="K18" s="29"/>
      <c r="L18" s="14"/>
      <c r="M18" s="14"/>
      <c r="N18" s="14"/>
      <c r="O18" s="14"/>
      <c r="P18" s="21">
        <f t="shared" si="19"/>
        <v>0</v>
      </c>
      <c r="Q18" s="9">
        <f>((data!$A$3/8)*L18)+((data!$B$3/8)*(M18+N18+O18))+(P18*$E$25)</f>
        <v>0</v>
      </c>
      <c r="R18" s="9">
        <f t="shared" ref="R18" si="29">IF(D18="Percobaan",0,IF(AND(E18="",G18&gt;0,H18="ok"),100000,IF(AND(E18="",G18&gt;0,H18=""),50000,IF(AND(E18=""),100000,0))))</f>
        <v>0</v>
      </c>
      <c r="S18" s="9">
        <v>0</v>
      </c>
      <c r="T18" s="9">
        <f t="shared" ref="T18" si="30">IF(AND(G18&gt;0,H18=""),50000,IF(AND(G18&gt;0,H18="ok"),G18*50000,0))</f>
        <v>0</v>
      </c>
      <c r="U18" s="9">
        <f t="shared" ref="U18" si="31">IF(OR(D18="Percobaan",D18=""),0,IF(I18="+",P18/8*3000,IF(I18="-",0,P18/8*2000)))</f>
        <v>0</v>
      </c>
      <c r="V18" s="10">
        <f t="shared" ref="V18" si="32">J18*-12500</f>
        <v>0</v>
      </c>
      <c r="W18" s="9"/>
      <c r="X18" s="9">
        <f>IF(K18="ok",50000+AB18,0+AB18)</f>
        <v>0</v>
      </c>
      <c r="Y18" s="9"/>
      <c r="Z18" s="9">
        <f t="shared" ref="Z18" si="33">CEILING(SUM(Q18:Y18),500)</f>
        <v>0</v>
      </c>
      <c r="AF18">
        <f t="shared" si="27"/>
        <v>0</v>
      </c>
      <c r="AL18" s="12">
        <v>0</v>
      </c>
      <c r="AM18" t="str">
        <f t="shared" si="10"/>
        <v>-</v>
      </c>
    </row>
    <row r="19" spans="1:42" ht="26.1" customHeight="1">
      <c r="A19" s="2"/>
      <c r="B19" s="4"/>
      <c r="C19" s="36"/>
      <c r="D19" s="36"/>
      <c r="E19" s="4"/>
      <c r="F19" s="36"/>
      <c r="G19" s="5"/>
      <c r="H19" s="5"/>
      <c r="I19" s="5"/>
      <c r="J19" s="4">
        <f>SUM(J5:J17)</f>
        <v>0</v>
      </c>
      <c r="K19" s="5"/>
      <c r="L19" s="37">
        <f>SUM(L5:L17)</f>
        <v>480</v>
      </c>
      <c r="M19" s="37">
        <f>SUM(M5:M18)</f>
        <v>471</v>
      </c>
      <c r="N19" s="37">
        <f>SUM(N5:N18)</f>
        <v>448</v>
      </c>
      <c r="O19" s="37">
        <f>SUM(O5:O17)</f>
        <v>301</v>
      </c>
      <c r="P19" s="38">
        <f>SUM(P5:P18)</f>
        <v>1700</v>
      </c>
      <c r="Q19" s="38">
        <f t="shared" ref="Q19:Z19" si="34">SUM(Q5:Q17)</f>
        <v>8347500</v>
      </c>
      <c r="R19" s="38">
        <f t="shared" si="34"/>
        <v>50000</v>
      </c>
      <c r="S19" s="38">
        <f t="shared" si="34"/>
        <v>118500</v>
      </c>
      <c r="T19" s="38">
        <f t="shared" si="34"/>
        <v>200000</v>
      </c>
      <c r="U19" s="38">
        <f t="shared" si="34"/>
        <v>233125</v>
      </c>
      <c r="V19" s="39">
        <f t="shared" si="34"/>
        <v>0</v>
      </c>
      <c r="W19" s="38">
        <f t="shared" si="34"/>
        <v>80000</v>
      </c>
      <c r="X19" s="38">
        <f t="shared" si="34"/>
        <v>90000</v>
      </c>
      <c r="Y19" s="38">
        <f t="shared" si="34"/>
        <v>46200</v>
      </c>
      <c r="Z19" s="38">
        <f t="shared" si="34"/>
        <v>9167500</v>
      </c>
      <c r="AI19">
        <f>SUM(AI5:AI16)</f>
        <v>0</v>
      </c>
      <c r="AJ19">
        <f>SUM(AJ5:AJ16)</f>
        <v>0</v>
      </c>
      <c r="AL19" s="40">
        <v>11057500</v>
      </c>
    </row>
    <row r="20" spans="1:42" ht="26.1" customHeight="1">
      <c r="A20" s="2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146">
        <f>L19+M19+N19</f>
        <v>1399</v>
      </c>
      <c r="M20" s="147"/>
      <c r="N20" s="147"/>
      <c r="X20" s="150">
        <f ca="1">NOW()</f>
        <v>46212.659424189813</v>
      </c>
      <c r="Y20" s="150"/>
    </row>
    <row r="21" spans="1:42" ht="26.1" hidden="1" customHeight="1">
      <c r="A21" s="2"/>
      <c r="B21" s="41"/>
      <c r="C21" s="42"/>
      <c r="D21" s="42"/>
      <c r="E21" s="42"/>
      <c r="F21" s="42"/>
      <c r="G21" s="42"/>
      <c r="H21" s="42"/>
      <c r="I21" s="42"/>
      <c r="J21" s="42"/>
      <c r="K21" s="42"/>
    </row>
    <row r="22" spans="1:42" ht="26.1" hidden="1" customHeight="1">
      <c r="A22" s="2"/>
      <c r="B22" s="43"/>
      <c r="C22" s="43"/>
      <c r="D22" s="43"/>
      <c r="E22" s="44"/>
      <c r="F22" s="43"/>
      <c r="G22" s="43"/>
      <c r="H22" s="13"/>
      <c r="I22" s="45"/>
      <c r="J22" s="45"/>
      <c r="K22" s="41"/>
      <c r="L22" s="46">
        <f>SUM(L19:N19)</f>
        <v>1399</v>
      </c>
      <c r="M22" s="47"/>
    </row>
    <row r="23" spans="1:42" ht="26.1" hidden="1" customHeight="1">
      <c r="A23" s="2"/>
      <c r="B23" s="44"/>
      <c r="C23" s="44"/>
      <c r="D23" s="44"/>
      <c r="E23" s="44"/>
      <c r="F23" s="44"/>
      <c r="G23" s="44"/>
      <c r="H23" s="13"/>
      <c r="I23" s="13"/>
      <c r="J23" s="13"/>
      <c r="K23" s="45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42" ht="26.1" hidden="1" customHeight="1">
      <c r="A24" s="2"/>
      <c r="B24" s="49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42" ht="48.75" customHeight="1">
      <c r="A25" s="2"/>
      <c r="B25" s="50"/>
      <c r="C25" s="50" t="s">
        <v>37</v>
      </c>
      <c r="D25" s="50"/>
      <c r="E25" s="151">
        <f>IF(L20&gt;0,data!F3/L20)</f>
        <v>0</v>
      </c>
      <c r="F25" s="151"/>
      <c r="G25" s="44"/>
      <c r="H25" s="44"/>
      <c r="I25" s="44"/>
      <c r="J25" s="51" t="s">
        <v>38</v>
      </c>
      <c r="K25" s="51"/>
      <c r="L25" s="51"/>
      <c r="M25" s="154">
        <f>F31-L20</f>
        <v>41</v>
      </c>
      <c r="N25" s="51"/>
      <c r="O25" s="51"/>
      <c r="P25" s="51"/>
      <c r="V25" s="13"/>
      <c r="W25" s="13"/>
    </row>
    <row r="26" spans="1:42" ht="26.1" hidden="1" customHeight="1">
      <c r="A26" s="2"/>
      <c r="B26" s="52"/>
      <c r="C26" s="52"/>
      <c r="D26" s="52"/>
      <c r="E26" s="45"/>
      <c r="F26" s="45"/>
      <c r="G26" s="44"/>
      <c r="H26" s="44"/>
      <c r="I26" s="44"/>
      <c r="J26" s="44"/>
      <c r="K26" s="53"/>
      <c r="L26" s="53"/>
      <c r="M26" s="53"/>
      <c r="N26" s="53"/>
      <c r="O26" s="2"/>
      <c r="P26" s="2"/>
      <c r="V26" s="13"/>
      <c r="W26" s="13"/>
    </row>
    <row r="27" spans="1:42" ht="26.1" hidden="1" customHeight="1">
      <c r="A27" s="2"/>
      <c r="B27" s="45"/>
      <c r="C27" s="45"/>
      <c r="D27" s="45"/>
      <c r="E27" s="45"/>
      <c r="F27" s="45"/>
      <c r="G27" s="44"/>
      <c r="H27" s="44"/>
      <c r="I27" s="44"/>
      <c r="J27" s="44"/>
      <c r="K27" s="2"/>
      <c r="L27" s="2"/>
      <c r="M27" s="2"/>
      <c r="N27" s="53"/>
      <c r="O27" s="2"/>
      <c r="P27" s="2"/>
      <c r="V27" s="13"/>
      <c r="W27" s="13"/>
    </row>
    <row r="28" spans="1:42" ht="26.1" customHeight="1">
      <c r="A28" s="2"/>
      <c r="B28" s="145" t="s">
        <v>39</v>
      </c>
      <c r="C28" s="145"/>
      <c r="D28" s="145"/>
      <c r="E28" s="145"/>
      <c r="F28" s="54">
        <v>2</v>
      </c>
      <c r="G28" s="44"/>
      <c r="H28" s="44"/>
      <c r="I28" s="44"/>
      <c r="J28" s="148"/>
      <c r="K28" s="148"/>
      <c r="L28" s="148"/>
      <c r="M28" s="148"/>
      <c r="N28" s="148"/>
      <c r="O28" s="148"/>
      <c r="P28" s="148"/>
      <c r="V28" s="55">
        <f>1.5*data!A3</f>
        <v>60000</v>
      </c>
      <c r="W28" s="56">
        <f>V28/8</f>
        <v>7500</v>
      </c>
    </row>
    <row r="29" spans="1:42" ht="26.1" customHeight="1">
      <c r="A29" s="2"/>
      <c r="B29" s="145" t="s">
        <v>40</v>
      </c>
      <c r="C29" s="145"/>
      <c r="D29" s="145"/>
      <c r="E29" s="145"/>
      <c r="F29" s="57">
        <f>30*24*F28</f>
        <v>1440</v>
      </c>
      <c r="G29" s="58"/>
      <c r="H29" s="57"/>
      <c r="I29" s="58"/>
      <c r="J29" s="148"/>
      <c r="K29" s="148"/>
      <c r="L29" s="148"/>
      <c r="M29" s="148"/>
      <c r="N29" s="148"/>
      <c r="O29" s="148"/>
      <c r="P29" s="148"/>
      <c r="V29" s="59">
        <f>V28-data!A3</f>
        <v>20000</v>
      </c>
      <c r="W29" s="56">
        <f>V29/8</f>
        <v>2500</v>
      </c>
    </row>
    <row r="30" spans="1:42" ht="26.1" customHeight="1">
      <c r="A30" s="2"/>
      <c r="B30" s="145" t="s">
        <v>41</v>
      </c>
      <c r="C30" s="145"/>
      <c r="D30" s="145"/>
      <c r="E30" s="145"/>
      <c r="F30" s="57">
        <v>0</v>
      </c>
      <c r="G30" s="58"/>
      <c r="H30" s="58"/>
      <c r="I30" s="58"/>
      <c r="J30" s="58"/>
      <c r="K30" s="2"/>
      <c r="L30" s="60"/>
      <c r="M30" s="2"/>
      <c r="N30" s="53"/>
      <c r="O30" s="2"/>
      <c r="P30" s="61"/>
      <c r="V30" s="13"/>
      <c r="W30" s="13"/>
    </row>
    <row r="31" spans="1:42" ht="26.1" customHeight="1">
      <c r="A31" s="2"/>
      <c r="B31" s="145" t="s">
        <v>42</v>
      </c>
      <c r="C31" s="145"/>
      <c r="D31" s="145"/>
      <c r="E31" s="145"/>
      <c r="F31" s="62">
        <f>F29-F30</f>
        <v>1440</v>
      </c>
      <c r="G31" s="63"/>
      <c r="H31" s="63"/>
      <c r="I31" s="63"/>
      <c r="J31" s="63"/>
      <c r="V31" s="13"/>
      <c r="W31" s="13"/>
    </row>
    <row r="32" spans="1:42" ht="26.1" customHeight="1">
      <c r="A32" s="2"/>
      <c r="B32" s="144" t="s">
        <v>43</v>
      </c>
      <c r="C32" s="144"/>
      <c r="D32" s="144"/>
      <c r="E32" s="144"/>
      <c r="F32" s="64">
        <f>P19</f>
        <v>1700</v>
      </c>
      <c r="G32" s="63"/>
      <c r="H32" s="63"/>
      <c r="I32" s="63"/>
      <c r="J32" s="63"/>
      <c r="V32" s="48"/>
      <c r="W32" s="48"/>
    </row>
    <row r="33" spans="1:23" ht="26.1" customHeight="1">
      <c r="A33" s="2"/>
      <c r="B33" s="144" t="s">
        <v>44</v>
      </c>
      <c r="C33" s="144"/>
      <c r="D33" s="144"/>
      <c r="E33" s="144"/>
      <c r="F33" s="65">
        <f>-(F31-F32)</f>
        <v>260</v>
      </c>
      <c r="G33" s="58"/>
      <c r="H33" s="58"/>
      <c r="I33" s="58"/>
      <c r="J33" s="63"/>
      <c r="W33" s="45"/>
    </row>
    <row r="34" spans="1:23" ht="26.1" customHeight="1">
      <c r="P34" s="1"/>
      <c r="W34" s="66"/>
    </row>
    <row r="35" spans="1:23" ht="26.1" customHeight="1"/>
    <row r="36" spans="1:23" ht="26.1" customHeight="1">
      <c r="S36">
        <v>1074000</v>
      </c>
      <c r="V36" s="41"/>
    </row>
    <row r="37" spans="1:23" ht="26.1" customHeight="1">
      <c r="S37">
        <v>822000</v>
      </c>
      <c r="T37">
        <v>40000</v>
      </c>
      <c r="U37">
        <f>T37/T38</f>
        <v>5000</v>
      </c>
    </row>
    <row r="38" spans="1:23" ht="26.1" customHeight="1">
      <c r="S38">
        <f>S36-S37</f>
        <v>252000</v>
      </c>
      <c r="T38">
        <v>8</v>
      </c>
      <c r="U38">
        <v>48</v>
      </c>
      <c r="V38">
        <f>U38/8</f>
        <v>6</v>
      </c>
    </row>
    <row r="39" spans="1:23" ht="26.1" customHeight="1">
      <c r="U39">
        <f>U37*U38</f>
        <v>240000</v>
      </c>
    </row>
    <row r="40" spans="1:23" ht="26.1" customHeight="1"/>
    <row r="41" spans="1:23" ht="26.1" customHeight="1"/>
    <row r="42" spans="1:23" ht="26.1" customHeight="1"/>
    <row r="43" spans="1:23" ht="26.1" customHeight="1">
      <c r="Q43">
        <v>288</v>
      </c>
    </row>
    <row r="44" spans="1:23" ht="26.1" customHeight="1"/>
    <row r="45" spans="1:23" ht="26.1" customHeight="1"/>
    <row r="46" spans="1:23" ht="26.1" customHeight="1"/>
    <row r="47" spans="1:23" ht="26.1" customHeight="1"/>
  </sheetData>
  <mergeCells count="12">
    <mergeCell ref="B3:D3"/>
    <mergeCell ref="B28:E28"/>
    <mergeCell ref="X20:Y20"/>
    <mergeCell ref="E25:F25"/>
    <mergeCell ref="B30:E30"/>
    <mergeCell ref="AI4:AJ4"/>
    <mergeCell ref="B33:E33"/>
    <mergeCell ref="B32:E32"/>
    <mergeCell ref="B29:E29"/>
    <mergeCell ref="B31:E31"/>
    <mergeCell ref="L20:N20"/>
    <mergeCell ref="J28:P29"/>
  </mergeCells>
  <conditionalFormatting sqref="AE5:AE18">
    <cfRule type="cellIs" dxfId="1" priority="1" operator="greaterThan">
      <formula>26</formula>
    </cfRule>
    <cfRule type="cellIs" dxfId="0" priority="2" operator="lessThan">
      <formula>24</formula>
    </cfRule>
  </conditionalFormatting>
  <pageMargins left="0.25" right="0.25" top="0.75" bottom="0.75" header="0.3" footer="0.3"/>
  <pageSetup paperSize="258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5AE8-1E70-403E-A971-C8F9A7DF6F90}">
  <dimension ref="A2:F14"/>
  <sheetViews>
    <sheetView workbookViewId="0">
      <selection activeCell="K18" sqref="K18"/>
    </sheetView>
  </sheetViews>
  <sheetFormatPr defaultRowHeight="15"/>
  <cols>
    <col min="1" max="1" width="7.140625" customWidth="1"/>
    <col min="2" max="2" width="11.85546875" bestFit="1" customWidth="1"/>
    <col min="3" max="3" width="10.28515625" bestFit="1" customWidth="1"/>
    <col min="4" max="4" width="12.5703125" customWidth="1"/>
    <col min="5" max="5" width="12.42578125" bestFit="1" customWidth="1"/>
  </cols>
  <sheetData>
    <row r="2" spans="1:6">
      <c r="A2" s="84" t="s">
        <v>56</v>
      </c>
    </row>
    <row r="3" spans="1:6" ht="30">
      <c r="A3" s="88" t="s">
        <v>1</v>
      </c>
      <c r="B3" s="88" t="s">
        <v>2</v>
      </c>
      <c r="C3" s="88" t="s">
        <v>3</v>
      </c>
      <c r="D3" s="88" t="s">
        <v>52</v>
      </c>
      <c r="E3" s="90" t="s">
        <v>55</v>
      </c>
      <c r="F3" s="88" t="s">
        <v>57</v>
      </c>
    </row>
    <row r="4" spans="1:6">
      <c r="A4" s="87">
        <v>1</v>
      </c>
      <c r="B4" t="s">
        <v>25</v>
      </c>
      <c r="C4" t="s">
        <v>3</v>
      </c>
      <c r="D4" s="86">
        <v>45209</v>
      </c>
      <c r="E4" s="91">
        <f ca="1">DATEDIF(D4, TODAY(), "M")</f>
        <v>32</v>
      </c>
      <c r="F4" s="87"/>
    </row>
    <row r="5" spans="1:6">
      <c r="A5" s="87">
        <v>3</v>
      </c>
      <c r="B5" t="s">
        <v>26</v>
      </c>
      <c r="C5" t="s">
        <v>27</v>
      </c>
      <c r="D5" s="86">
        <v>46045</v>
      </c>
      <c r="E5" s="91">
        <f t="shared" ref="E5:E11" ca="1" si="0">DATEDIF(D5, TODAY(), "M")</f>
        <v>5</v>
      </c>
    </row>
    <row r="6" spans="1:6">
      <c r="A6" s="87">
        <v>2</v>
      </c>
      <c r="B6" t="s">
        <v>28</v>
      </c>
      <c r="C6" t="s">
        <v>3</v>
      </c>
      <c r="D6" s="86">
        <v>45427</v>
      </c>
      <c r="E6" s="91">
        <f t="shared" ca="1" si="0"/>
        <v>25</v>
      </c>
      <c r="F6" s="87"/>
    </row>
    <row r="7" spans="1:6">
      <c r="A7" s="89">
        <v>4</v>
      </c>
      <c r="B7" s="85" t="s">
        <v>29</v>
      </c>
      <c r="C7" s="85" t="s">
        <v>53</v>
      </c>
      <c r="D7" s="86"/>
      <c r="E7" s="91"/>
    </row>
    <row r="8" spans="1:6">
      <c r="A8" s="87">
        <v>5</v>
      </c>
      <c r="B8" t="s">
        <v>30</v>
      </c>
      <c r="C8" t="s">
        <v>27</v>
      </c>
      <c r="D8" s="86">
        <v>45923</v>
      </c>
      <c r="E8" s="91">
        <f t="shared" ca="1" si="0"/>
        <v>9</v>
      </c>
    </row>
    <row r="9" spans="1:6">
      <c r="A9" s="87">
        <v>6</v>
      </c>
      <c r="B9" t="s">
        <v>31</v>
      </c>
      <c r="C9" t="s">
        <v>27</v>
      </c>
      <c r="D9" s="86">
        <v>45484</v>
      </c>
      <c r="E9" s="91">
        <f t="shared" ca="1" si="0"/>
        <v>23</v>
      </c>
      <c r="F9" s="87"/>
    </row>
    <row r="10" spans="1:6">
      <c r="A10" s="89">
        <v>7</v>
      </c>
      <c r="B10" s="85" t="s">
        <v>32</v>
      </c>
      <c r="C10" s="85" t="s">
        <v>54</v>
      </c>
      <c r="D10" s="86"/>
      <c r="E10" s="91"/>
    </row>
    <row r="11" spans="1:6">
      <c r="A11" s="87">
        <v>9</v>
      </c>
      <c r="B11" t="s">
        <v>33</v>
      </c>
      <c r="C11" t="s">
        <v>27</v>
      </c>
      <c r="D11" s="86">
        <v>46053</v>
      </c>
      <c r="E11" s="91">
        <f t="shared" ca="1" si="0"/>
        <v>5</v>
      </c>
    </row>
    <row r="12" spans="1:6">
      <c r="A12" s="89">
        <v>8</v>
      </c>
      <c r="B12" s="85" t="s">
        <v>34</v>
      </c>
      <c r="C12" s="85" t="s">
        <v>3</v>
      </c>
      <c r="D12" s="86"/>
      <c r="E12" s="91"/>
    </row>
    <row r="13" spans="1:6">
      <c r="A13" s="87">
        <v>10</v>
      </c>
      <c r="B13" s="85" t="s">
        <v>35</v>
      </c>
      <c r="C13" s="85" t="s">
        <v>3</v>
      </c>
      <c r="D13" s="86"/>
      <c r="E13" s="91"/>
    </row>
    <row r="14" spans="1:6">
      <c r="D14" s="8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2"/>
  <sheetViews>
    <sheetView workbookViewId="0">
      <selection activeCell="A3" sqref="A3"/>
    </sheetView>
  </sheetViews>
  <sheetFormatPr defaultRowHeight="15"/>
  <cols>
    <col min="9" max="9" width="18.140625" bestFit="1" customWidth="1"/>
  </cols>
  <sheetData>
    <row r="1" spans="1:10">
      <c r="A1" t="s">
        <v>45</v>
      </c>
    </row>
    <row r="2" spans="1:10">
      <c r="A2" t="s">
        <v>46</v>
      </c>
      <c r="B2" t="s">
        <v>47</v>
      </c>
      <c r="F2" t="s">
        <v>48</v>
      </c>
      <c r="I2" t="s">
        <v>49</v>
      </c>
      <c r="J2" t="s">
        <v>50</v>
      </c>
    </row>
    <row r="3" spans="1:10">
      <c r="A3">
        <v>40000</v>
      </c>
      <c r="B3">
        <v>39000</v>
      </c>
      <c r="F3">
        <v>0</v>
      </c>
      <c r="I3" s="67">
        <f>Sheet1!B3</f>
        <v>46174</v>
      </c>
    </row>
    <row r="4" spans="1:10">
      <c r="A4">
        <f>A3-5000</f>
        <v>35000</v>
      </c>
      <c r="B4">
        <f>B3-5000</f>
        <v>34000</v>
      </c>
      <c r="I4" s="68">
        <f>EOMONTH(I3,0)</f>
        <v>46203</v>
      </c>
      <c r="J4">
        <v>3</v>
      </c>
    </row>
    <row r="10" spans="1:10">
      <c r="A10">
        <f>A3*1.5</f>
        <v>60000</v>
      </c>
    </row>
    <row r="11" spans="1:10">
      <c r="A11">
        <f>A10-A3</f>
        <v>20000</v>
      </c>
    </row>
    <row r="12" spans="1:10">
      <c r="A12" s="69">
        <f>A11/8</f>
        <v>2500</v>
      </c>
      <c r="B12" s="69" t="s">
        <v>51</v>
      </c>
      <c r="C12" s="69"/>
      <c r="D12" s="69"/>
      <c r="E12" s="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Thomas Eko</cp:lastModifiedBy>
  <cp:lastPrinted>2026-07-09T08:45:14Z</cp:lastPrinted>
  <dcterms:created xsi:type="dcterms:W3CDTF">2022-07-05T15:57:31Z</dcterms:created>
  <dcterms:modified xsi:type="dcterms:W3CDTF">2026-07-09T08:51:05Z</dcterms:modified>
</cp:coreProperties>
</file>