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W:\_DOC\doc\gaji\2026\6\"/>
    </mc:Choice>
  </mc:AlternateContent>
  <xr:revisionPtr revIDLastSave="0" documentId="13_ncr:1_{8F9C9717-D353-41AC-AAA4-24C67CDC05F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3" sheetId="2" r:id="rId2"/>
    <sheet name="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Mujr4RROYRyC8WNyXeBXcLCiuJUTL0u2XxhLc6uYfQ="/>
    </ext>
  </extLst>
</workbook>
</file>

<file path=xl/calcChain.xml><?xml version="1.0" encoding="utf-8"?>
<calcChain xmlns="http://schemas.openxmlformats.org/spreadsheetml/2006/main">
  <c r="Q18" i="1" l="1"/>
  <c r="A10" i="3"/>
  <c r="A11" i="3" s="1"/>
  <c r="A12" i="3" s="1"/>
  <c r="I4" i="3"/>
  <c r="I3" i="3"/>
  <c r="X28" i="1"/>
  <c r="Y28" i="1" s="1"/>
  <c r="F28" i="1"/>
  <c r="F30" i="1" s="1"/>
  <c r="X27" i="1"/>
  <c r="Y27" i="1" s="1"/>
  <c r="L21" i="1"/>
  <c r="W19" i="1"/>
  <c r="AK18" i="1"/>
  <c r="AH18" i="1"/>
  <c r="X18" i="1"/>
  <c r="O18" i="1"/>
  <c r="N18" i="1"/>
  <c r="M18" i="1"/>
  <c r="L18" i="1"/>
  <c r="L19" i="1" s="1"/>
  <c r="E24" i="1" s="1"/>
  <c r="AL17" i="1"/>
  <c r="AE17" i="1"/>
  <c r="W17" i="1"/>
  <c r="V17" i="1"/>
  <c r="U17" i="1"/>
  <c r="T17" i="1"/>
  <c r="R17" i="1"/>
  <c r="P17" i="1"/>
  <c r="AO16" i="1"/>
  <c r="AL16" i="1"/>
  <c r="W16" i="1"/>
  <c r="V16" i="1"/>
  <c r="U16" i="1"/>
  <c r="T16" i="1"/>
  <c r="S16" i="1"/>
  <c r="R16" i="1"/>
  <c r="P16" i="1"/>
  <c r="AD16" i="1" s="1"/>
  <c r="AO15" i="1"/>
  <c r="AL15" i="1"/>
  <c r="AI15" i="1"/>
  <c r="W15" i="1"/>
  <c r="V15" i="1"/>
  <c r="T15" i="1"/>
  <c r="R15" i="1"/>
  <c r="P15" i="1"/>
  <c r="AD15" i="1" s="1"/>
  <c r="U14" i="1"/>
  <c r="T14" i="1"/>
  <c r="R14" i="1"/>
  <c r="P14" i="1"/>
  <c r="Q14" i="1" s="1"/>
  <c r="AO13" i="1"/>
  <c r="AL13" i="1"/>
  <c r="AI13" i="1"/>
  <c r="AD13" i="1"/>
  <c r="AG13" i="1" s="1"/>
  <c r="W13" i="1"/>
  <c r="V13" i="1"/>
  <c r="U13" i="1"/>
  <c r="T13" i="1"/>
  <c r="S13" i="1"/>
  <c r="R13" i="1"/>
  <c r="P13" i="1"/>
  <c r="I13" i="1"/>
  <c r="AO12" i="1"/>
  <c r="AL12" i="1"/>
  <c r="AI12" i="1"/>
  <c r="AD12" i="1"/>
  <c r="AG12" i="1" s="1"/>
  <c r="W12" i="1"/>
  <c r="V12" i="1"/>
  <c r="U12" i="1"/>
  <c r="T12" i="1"/>
  <c r="S12" i="1"/>
  <c r="R12" i="1"/>
  <c r="P12" i="1"/>
  <c r="I12" i="1"/>
  <c r="W11" i="1"/>
  <c r="V11" i="1"/>
  <c r="U11" i="1"/>
  <c r="T11" i="1"/>
  <c r="S11" i="1"/>
  <c r="R11" i="1"/>
  <c r="P11" i="1"/>
  <c r="I11" i="1"/>
  <c r="AO10" i="1"/>
  <c r="AL10" i="1"/>
  <c r="AI10" i="1"/>
  <c r="W10" i="1"/>
  <c r="V10" i="1"/>
  <c r="U10" i="1"/>
  <c r="T10" i="1"/>
  <c r="S10" i="1"/>
  <c r="R10" i="1"/>
  <c r="P10" i="1"/>
  <c r="AD10" i="1" s="1"/>
  <c r="I10" i="1"/>
  <c r="AO9" i="1"/>
  <c r="AL9" i="1"/>
  <c r="AI9" i="1"/>
  <c r="W9" i="1"/>
  <c r="V9" i="1"/>
  <c r="T9" i="1"/>
  <c r="S9" i="1"/>
  <c r="R9" i="1"/>
  <c r="P9" i="1"/>
  <c r="AD9" i="1" s="1"/>
  <c r="I9" i="1"/>
  <c r="U9" i="1" s="1"/>
  <c r="AD8" i="1"/>
  <c r="W8" i="1"/>
  <c r="V8" i="1"/>
  <c r="T8" i="1"/>
  <c r="S8" i="1"/>
  <c r="R8" i="1"/>
  <c r="P8" i="1"/>
  <c r="I8" i="1"/>
  <c r="U8" i="1" s="1"/>
  <c r="W7" i="1"/>
  <c r="V7" i="1"/>
  <c r="U7" i="1"/>
  <c r="T7" i="1"/>
  <c r="R7" i="1"/>
  <c r="P7" i="1"/>
  <c r="S7" i="1" s="1"/>
  <c r="AO6" i="1"/>
  <c r="AL6" i="1"/>
  <c r="AI6" i="1"/>
  <c r="AI18" i="1" s="1"/>
  <c r="W6" i="1"/>
  <c r="W18" i="1" s="1"/>
  <c r="V6" i="1"/>
  <c r="T6" i="1"/>
  <c r="T18" i="1" s="1"/>
  <c r="R6" i="1"/>
  <c r="R18" i="1" s="1"/>
  <c r="P6" i="1"/>
  <c r="S6" i="1" s="1"/>
  <c r="U5" i="1"/>
  <c r="T5" i="1"/>
  <c r="R5" i="1"/>
  <c r="P5" i="1"/>
  <c r="S5" i="1" s="1"/>
  <c r="V18" i="1" l="1"/>
  <c r="AF9" i="1"/>
  <c r="AG9" i="1"/>
  <c r="AG15" i="1"/>
  <c r="AF15" i="1"/>
  <c r="AE16" i="1"/>
  <c r="AF16" i="1"/>
  <c r="Q8" i="1"/>
  <c r="Y8" i="1" s="1"/>
  <c r="Q17" i="1"/>
  <c r="Y17" i="1" s="1"/>
  <c r="Q13" i="1"/>
  <c r="Y13" i="1" s="1"/>
  <c r="Q12" i="1"/>
  <c r="Y12" i="1" s="1"/>
  <c r="Q11" i="1"/>
  <c r="Y11" i="1" s="1"/>
  <c r="AF10" i="1"/>
  <c r="AG10" i="1"/>
  <c r="J29" i="1"/>
  <c r="Q5" i="1"/>
  <c r="Y5" i="1" s="1"/>
  <c r="AD6" i="1"/>
  <c r="AF12" i="1"/>
  <c r="AF13" i="1"/>
  <c r="S14" i="1"/>
  <c r="Y14" i="1" s="1"/>
  <c r="I15" i="1"/>
  <c r="U15" i="1" s="1"/>
  <c r="S15" i="1"/>
  <c r="S18" i="1" s="1"/>
  <c r="P18" i="1"/>
  <c r="F31" i="1" s="1"/>
  <c r="F32" i="1" s="1"/>
  <c r="Q9" i="1"/>
  <c r="Y9" i="1" s="1"/>
  <c r="Q10" i="1"/>
  <c r="Y10" i="1" s="1"/>
  <c r="Q16" i="1"/>
  <c r="Y16" i="1" s="1"/>
  <c r="Q6" i="1"/>
  <c r="Q7" i="1"/>
  <c r="Y7" i="1" s="1"/>
  <c r="I6" i="1"/>
  <c r="U6" i="1" s="1"/>
  <c r="I7" i="1"/>
  <c r="Q15" i="1"/>
  <c r="AG6" i="1" l="1"/>
  <c r="AF6" i="1"/>
  <c r="U18" i="1"/>
  <c r="Y15" i="1"/>
  <c r="Y6" i="1"/>
  <c r="Y18" i="1" l="1"/>
</calcChain>
</file>

<file path=xl/sharedStrings.xml><?xml version="1.0" encoding="utf-8"?>
<sst xmlns="http://schemas.openxmlformats.org/spreadsheetml/2006/main" count="98" uniqueCount="66">
  <si>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</si>
  <si>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</si>
  <si>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</si>
  <si>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</si>
  <si>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</si>
  <si>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</si>
  <si>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</si>
  <si>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</si>
  <si>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</si>
  <si>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</si>
  <si>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</si>
  <si>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</si>
  <si>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</si>
  <si>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</si>
  <si>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</si>
  <si>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</si>
  <si>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</si>
  <si>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</si>
  <si>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</si>
  <si>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</si>
  <si>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</si>
  <si>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</si>
  <si>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</si>
  <si>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</si>
  <si>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</si>
  <si>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Andra</t>
  </si>
  <si>
    <t>Percobaan</t>
  </si>
  <si>
    <t>-</t>
  </si>
  <si>
    <t>Arif</t>
  </si>
  <si>
    <t>Presensi, Meeting</t>
  </si>
  <si>
    <t>23/5</t>
  </si>
  <si>
    <t>Firman</t>
  </si>
  <si>
    <t>percobaan</t>
  </si>
  <si>
    <t>Presensi</t>
  </si>
  <si>
    <t>Gilang</t>
  </si>
  <si>
    <t>Henbediona</t>
  </si>
  <si>
    <t>Meeting</t>
  </si>
  <si>
    <t>Iman</t>
  </si>
  <si>
    <t>Kenzi</t>
  </si>
  <si>
    <t>Ridwan</t>
  </si>
  <si>
    <t>Ronald</t>
  </si>
  <si>
    <t>Vio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</si>
  <si>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</si>
  <si>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</si>
  <si>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</si>
  <si>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</si>
  <si>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</si>
  <si>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</si>
  <si>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</si>
  <si>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</si>
  <si>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</si>
  <si>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Rekap Lulus PK</t>
  </si>
  <si>
    <t>1x Agus 24</t>
  </si>
  <si>
    <t>1x Okto 24</t>
  </si>
  <si>
    <t>Nama</t>
  </si>
  <si>
    <t>Tahun Masuk</t>
  </si>
  <si>
    <t>2 Mei 2024</t>
  </si>
  <si>
    <t>15 Mei 2024</t>
  </si>
  <si>
    <t>11 Juli 2024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</si>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</sst>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m\-yyyy"/>
    <numFmt numFmtId="165" formatCode="_-* #,##0_-;\-* #,##0_-;_-* &quot;-&quot;_-;_-@"/>
    <numFmt numFmtId="166" formatCode="mm/dd"/>
    <numFmt numFmtId="167" formatCode="_(* #,##0_);_(* \(#,##0\);_(* &quot;-&quot;??_);_(@_)"/>
    <numFmt numFmtId="168" formatCode="_(* #,##0.00_);_(* \(#,##0.00\);_(* &quot;-&quot;??_);_(@_)"/>
    <numFmt numFmtId="169" formatCode="dd"/>
    <numFmt numFmtId="170" formatCode="#,##0;[Red]\(#,##0\)"/>
    <numFmt numFmtId="171" formatCode="[$-F800]dddd\,\ mmmm\ dd\,\ yyyy"/>
    <numFmt numFmtId="172" formatCode="mmmm\ yyyy"/>
  </numFmts>
  <fonts count="25">
    <font>
      <sz val="11"/>
      <color rgb="FF000000"/>
      <name val="Calibri"/>
      <scheme val="minor"/>
    </font>
    <font>
      <sz val="12"/>
      <color rgb="FF000000"/>
      <name val="Calibri"/>
    </font>
    <font>
      <b/>
      <sz val="20"/>
      <color theme="1"/>
      <name val="Calibri"/>
    </font>
    <font>
      <sz val="12"/>
      <color rgb="FF1F3964"/>
      <name val="Verdana"/>
    </font>
    <font>
      <sz val="11"/>
      <color theme="1"/>
      <name val="Calibri"/>
    </font>
    <font>
      <sz val="12"/>
      <color rgb="FF1F3964"/>
      <name val="Arial"/>
    </font>
    <font>
      <sz val="11"/>
      <name val="Calibri"/>
    </font>
    <font>
      <sz val="11"/>
      <color theme="1"/>
      <name val="Calibri"/>
      <scheme val="minor"/>
    </font>
    <font>
      <sz val="14"/>
      <color rgb="FF1F3964"/>
      <name val="Verdana"/>
    </font>
    <font>
      <sz val="14"/>
      <color rgb="FF333333"/>
      <name val="Verdana"/>
    </font>
    <font>
      <b/>
      <sz val="14"/>
      <color theme="1"/>
      <name val="Verdana"/>
    </font>
    <font>
      <sz val="12"/>
      <color theme="1"/>
      <name val="Verdana"/>
    </font>
    <font>
      <sz val="14"/>
      <color theme="1"/>
      <name val="Verdana"/>
    </font>
    <font>
      <sz val="14"/>
      <color rgb="FF1E4E79"/>
      <name val="Verdana"/>
    </font>
    <font>
      <sz val="11"/>
      <color rgb="FF000000"/>
      <name val="Verdana"/>
    </font>
    <font>
      <sz val="11"/>
      <color rgb="FFA5A5A5"/>
      <name val="Verdana"/>
    </font>
    <font>
      <sz val="11"/>
      <color theme="1"/>
      <name val="Verdana"/>
    </font>
    <font>
      <sz val="10"/>
      <color rgb="FF002060"/>
      <name val="Verdana"/>
    </font>
    <font>
      <sz val="12"/>
      <color rgb="FF000000"/>
      <name val="Verdana"/>
    </font>
    <font>
      <b/>
      <sz val="12"/>
      <color rgb="FF000000"/>
      <name val="Verdana"/>
    </font>
    <font>
      <sz val="12"/>
      <color theme="0"/>
      <name val="Verdana"/>
    </font>
    <font>
      <sz val="12"/>
      <color rgb="FF435369"/>
      <name val="Verdana"/>
    </font>
    <font>
      <sz val="9"/>
      <color rgb="FF000000"/>
      <name val="Verdana"/>
    </font>
    <font>
      <b/>
      <sz val="12"/>
      <color rgb="FF435369"/>
      <name val="Verdana"/>
    </font>
    <font>
      <sz val="11"/>
      <color rgb="FFFFFF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5F5F5"/>
        <bgColor rgb="FFF5F5F5"/>
      </patternFill>
    </fill>
    <fill>
      <patternFill patternType="solid">
        <fgColor rgb="FF9CC2E5"/>
        <bgColor rgb="FF9CC2E5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F0000"/>
        <bgColor rgb="FFFF000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 wrapText="1"/>
    </xf>
    <xf numFmtId="165" fontId="10" fillId="3" borderId="10" xfId="0" applyNumberFormat="1" applyFont="1" applyFill="1" applyBorder="1" applyAlignment="1">
      <alignment horizontal="right" vertical="center" wrapText="1"/>
    </xf>
    <xf numFmtId="165" fontId="3" fillId="3" borderId="6" xfId="0" applyNumberFormat="1" applyFont="1" applyFill="1" applyBorder="1" applyAlignment="1">
      <alignment horizontal="right" vertical="center" wrapText="1"/>
    </xf>
    <xf numFmtId="165" fontId="3" fillId="3" borderId="10" xfId="0" applyNumberFormat="1" applyFont="1" applyFill="1" applyBorder="1" applyAlignment="1">
      <alignment horizontal="right" vertical="center" wrapText="1"/>
    </xf>
    <xf numFmtId="165" fontId="11" fillId="3" borderId="6" xfId="0" applyNumberFormat="1" applyFont="1" applyFill="1" applyBorder="1" applyAlignment="1">
      <alignment horizontal="right" vertical="center" wrapText="1"/>
    </xf>
    <xf numFmtId="37" fontId="3" fillId="3" borderId="10" xfId="0" applyNumberFormat="1" applyFont="1" applyFill="1" applyBorder="1" applyAlignment="1">
      <alignment horizontal="right" vertical="center" wrapText="1"/>
    </xf>
    <xf numFmtId="165" fontId="3" fillId="3" borderId="6" xfId="0" applyNumberFormat="1" applyFont="1" applyFill="1" applyBorder="1" applyAlignment="1">
      <alignment horizontal="right" vertical="center" wrapText="1"/>
    </xf>
    <xf numFmtId="167" fontId="3" fillId="3" borderId="10" xfId="0" applyNumberFormat="1" applyFont="1" applyFill="1" applyBorder="1" applyAlignment="1">
      <alignment horizontal="right" vertical="center" wrapText="1"/>
    </xf>
    <xf numFmtId="165" fontId="3" fillId="3" borderId="11" xfId="0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12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/>
    </xf>
    <xf numFmtId="167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 wrapText="1"/>
    </xf>
    <xf numFmtId="37" fontId="3" fillId="3" borderId="10" xfId="0" applyNumberFormat="1" applyFont="1" applyFill="1" applyBorder="1" applyAlignment="1">
      <alignment horizontal="right" vertical="center" wrapText="1"/>
    </xf>
    <xf numFmtId="167" fontId="3" fillId="3" borderId="6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right" vertical="center" wrapText="1"/>
    </xf>
    <xf numFmtId="0" fontId="12" fillId="5" borderId="6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1" fillId="3" borderId="4" xfId="0" applyFont="1" applyFill="1" applyBorder="1" applyAlignment="1"/>
    <xf numFmtId="0" fontId="3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7" fontId="4" fillId="3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left"/>
    </xf>
    <xf numFmtId="0" fontId="1" fillId="3" borderId="0" xfId="0" applyFont="1" applyFill="1" applyAlignment="1"/>
    <xf numFmtId="167" fontId="4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/>
    </xf>
    <xf numFmtId="165" fontId="3" fillId="3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165" fontId="10" fillId="3" borderId="6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37" fontId="3" fillId="0" borderId="6" xfId="0" applyNumberFormat="1" applyFont="1" applyBorder="1" applyAlignment="1">
      <alignment horizontal="right" vertical="center" wrapText="1"/>
    </xf>
    <xf numFmtId="165" fontId="3" fillId="6" borderId="6" xfId="0" applyNumberFormat="1" applyFont="1" applyFill="1" applyBorder="1" applyAlignment="1">
      <alignment horizontal="right" vertical="center" wrapText="1"/>
    </xf>
    <xf numFmtId="0" fontId="3" fillId="0" borderId="6" xfId="0" quotePrefix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3" fontId="8" fillId="2" borderId="15" xfId="0" applyNumberFormat="1" applyFont="1" applyFill="1" applyBorder="1" applyAlignment="1">
      <alignment horizontal="right" vertical="center"/>
    </xf>
    <xf numFmtId="165" fontId="10" fillId="2" borderId="15" xfId="0" applyNumberFormat="1" applyFont="1" applyFill="1" applyBorder="1" applyAlignment="1">
      <alignment horizontal="right" vertical="center" wrapText="1"/>
    </xf>
    <xf numFmtId="165" fontId="3" fillId="2" borderId="15" xfId="0" applyNumberFormat="1" applyFont="1" applyFill="1" applyBorder="1" applyAlignment="1">
      <alignment horizontal="right" vertical="center"/>
    </xf>
    <xf numFmtId="37" fontId="3" fillId="2" borderId="15" xfId="0" applyNumberFormat="1" applyFont="1" applyFill="1" applyBorder="1" applyAlignment="1">
      <alignment horizontal="right" vertical="center"/>
    </xf>
    <xf numFmtId="165" fontId="3" fillId="2" borderId="16" xfId="0" applyNumberFormat="1" applyFont="1" applyFill="1" applyBorder="1" applyAlignment="1">
      <alignment horizontal="right" vertical="center" wrapText="1"/>
    </xf>
    <xf numFmtId="167" fontId="4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6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7" borderId="4" xfId="0" applyFont="1" applyFill="1" applyBorder="1" applyAlignment="1">
      <alignment horizontal="center" vertical="center"/>
    </xf>
    <xf numFmtId="0" fontId="19" fillId="0" borderId="0" xfId="0" applyFont="1" applyAlignme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3" fillId="0" borderId="0" xfId="0" applyFont="1" applyAlignment="1">
      <alignment horizontal="right" vertical="center"/>
    </xf>
    <xf numFmtId="167" fontId="20" fillId="0" borderId="0" xfId="0" applyNumberFormat="1" applyFont="1" applyAlignment="1">
      <alignment horizontal="left"/>
    </xf>
    <xf numFmtId="168" fontId="20" fillId="0" borderId="0" xfId="0" applyNumberFormat="1" applyFont="1" applyAlignment="1">
      <alignment horizontal="left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/>
    <xf numFmtId="165" fontId="21" fillId="0" borderId="0" xfId="0" applyNumberFormat="1" applyFont="1" applyAlignment="1"/>
    <xf numFmtId="169" fontId="18" fillId="0" borderId="0" xfId="0" applyNumberFormat="1" applyFont="1" applyAlignment="1"/>
    <xf numFmtId="167" fontId="22" fillId="0" borderId="0" xfId="0" applyNumberFormat="1" applyFont="1" applyAlignment="1"/>
    <xf numFmtId="165" fontId="3" fillId="0" borderId="19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165" fontId="23" fillId="0" borderId="0" xfId="0" applyNumberFormat="1" applyFont="1" applyAlignment="1">
      <alignment horizontal="right" vertical="center"/>
    </xf>
    <xf numFmtId="170" fontId="21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72" fontId="4" fillId="0" borderId="0" xfId="0" applyNumberFormat="1" applyFont="1" applyAlignment="1">
      <alignment vertical="center"/>
    </xf>
    <xf numFmtId="169" fontId="4" fillId="0" borderId="0" xfId="0" applyNumberFormat="1" applyFont="1" applyAlignment="1">
      <alignment horizontal="center" vertical="center"/>
    </xf>
    <xf numFmtId="0" fontId="24" fillId="10" borderId="4" xfId="0" applyFont="1" applyFill="1" applyBorder="1" applyAlignment="1">
      <alignment vertical="center"/>
    </xf>
    <xf numFmtId="0" fontId="11" fillId="8" borderId="17" xfId="0" applyFont="1" applyFill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9" borderId="17" xfId="0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22" fontId="17" fillId="0" borderId="0" xfId="0" applyNumberFormat="1" applyFont="1" applyAlignment="1">
      <alignment horizontal="center" vertical="center"/>
    </xf>
    <xf numFmtId="165" fontId="3" fillId="7" borderId="1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1"/>
  <sheetViews>
    <sheetView showGridLines="0" tabSelected="1" topLeftCell="C1" zoomScale="70" zoomScaleNormal="70" workbookViewId="0">
      <selection activeCell="L34" sqref="L34"/>
    </sheetView>
  </sheetViews>
  <sheetFormatPr defaultColWidth="14.42578125" defaultRowHeight="15" customHeight="1"/>
  <cols>
    <col min="1" max="1" width="10" customWidth="1"/>
    <col min="2" max="2" width="4.7109375" customWidth="1"/>
    <col min="3" max="3" width="19.42578125" customWidth="1"/>
    <col min="4" max="4" width="16.28515625" customWidth="1"/>
    <col min="5" max="5" width="22.28515625" customWidth="1"/>
    <col min="6" max="6" width="12.140625" customWidth="1"/>
    <col min="7" max="7" width="11.7109375" customWidth="1"/>
    <col min="8" max="8" width="14" customWidth="1"/>
    <col min="9" max="9" width="11.140625" customWidth="1"/>
    <col min="10" max="10" width="16.5703125" customWidth="1"/>
    <col min="11" max="11" width="12.140625" customWidth="1"/>
    <col min="12" max="14" width="10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9.1406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0" max="32" width="10" customWidth="1"/>
    <col min="33" max="33" width="10.140625" customWidth="1"/>
    <col min="34" max="36" width="10" customWidth="1"/>
    <col min="37" max="37" width="15.85546875" customWidth="1"/>
    <col min="38" max="38" width="13" customWidth="1"/>
    <col min="39" max="39" width="10" customWidth="1"/>
    <col min="40" max="40" width="10.85546875" customWidth="1"/>
    <col min="41" max="41" width="10" customWidth="1"/>
    <col min="42" max="42" width="14.28515625" customWidth="1"/>
  </cols>
  <sheetData>
    <row r="1" spans="1:42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42" ht="26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2" ht="26.25">
      <c r="A3" s="1"/>
      <c r="B3" s="129">
        <v>46143</v>
      </c>
      <c r="C3" s="130"/>
      <c r="D3" s="13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42" ht="45">
      <c r="A4" s="1"/>
      <c r="B4" s="3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4</v>
      </c>
      <c r="S4" s="4" t="s">
        <v>5</v>
      </c>
      <c r="T4" s="4" t="s">
        <v>6</v>
      </c>
      <c r="U4" s="4" t="s">
        <v>17</v>
      </c>
      <c r="V4" s="4" t="s">
        <v>18</v>
      </c>
      <c r="W4" s="4" t="s">
        <v>19</v>
      </c>
      <c r="X4" s="4" t="s">
        <v>20</v>
      </c>
      <c r="Y4" s="6" t="s">
        <v>21</v>
      </c>
      <c r="Z4" s="7"/>
      <c r="AA4" s="7"/>
      <c r="AB4" s="7"/>
      <c r="AC4" s="7"/>
      <c r="AD4" s="8" t="s">
        <v>21</v>
      </c>
      <c r="AE4" s="9" t="s">
        <v>22</v>
      </c>
      <c r="AF4" s="9" t="s">
        <v>23</v>
      </c>
      <c r="AG4" s="10" t="s">
        <v>21</v>
      </c>
      <c r="AH4" s="131" t="s">
        <v>22</v>
      </c>
      <c r="AI4" s="127"/>
      <c r="AK4" s="11" t="s">
        <v>24</v>
      </c>
    </row>
    <row r="5" spans="1:42" ht="24.75" customHeight="1">
      <c r="A5" s="1"/>
      <c r="B5" s="12">
        <v>1</v>
      </c>
      <c r="C5" s="13" t="s">
        <v>25</v>
      </c>
      <c r="D5" s="14" t="s">
        <v>26</v>
      </c>
      <c r="E5" s="13"/>
      <c r="F5" s="13"/>
      <c r="G5" s="15"/>
      <c r="H5" s="15"/>
      <c r="I5" s="16"/>
      <c r="J5" s="17"/>
      <c r="K5" s="18"/>
      <c r="L5" s="19"/>
      <c r="M5" s="19"/>
      <c r="N5" s="20">
        <v>24</v>
      </c>
      <c r="O5" s="21"/>
      <c r="P5" s="22">
        <f t="shared" ref="P5:P18" si="0">SUM(L5:O5)</f>
        <v>24</v>
      </c>
      <c r="Q5" s="23">
        <f>((data!$A$3/8)*L5)+((data!$B$3/8)*(M5+N5+O5))+(P5*$E$24)</f>
        <v>117000</v>
      </c>
      <c r="R5" s="24">
        <f t="shared" ref="R5:R15" si="1">IF(AND(D5="tetap", E5=""), 50000 * G5, 0)</f>
        <v>0</v>
      </c>
      <c r="S5" s="23">
        <f t="shared" ref="S5:S15" si="2">IF(F5&lt;&gt;"","-",(P5/8)*1000)</f>
        <v>3000</v>
      </c>
      <c r="T5" s="25" t="str">
        <f t="shared" ref="T5:T15" si="3">IF(
OR(
LOWER(D5)="percobaan",
E5&lt;&gt;"",
F5&lt;&gt;""
),
"-",
50000
)</f>
        <v>-</v>
      </c>
      <c r="U5" s="23">
        <f t="shared" ref="U5:U15" si="4">IF(
OR(LOWER(D5)="percobaan",D5=""),
0,
IF(
I5&lt;&gt;"",
IF(
I5="+",
(P5/8)*3000,
0
),
IF(
DAY(EOMONTH($B$2,0))=30,
IF((P5/8)&gt;=25,(P5/8)*3000,0),
IF(
DAY(EOMONTH($B$2,0))=31,
IF((P5/8)&gt;=26,(P5/8)*3000,0),
0
)
)
)
)</f>
        <v>0</v>
      </c>
      <c r="V5" s="26" t="s">
        <v>27</v>
      </c>
      <c r="W5" s="27">
        <v>90000</v>
      </c>
      <c r="X5" s="28">
        <v>2000</v>
      </c>
      <c r="Y5" s="29">
        <f t="shared" ref="Y5:Y18" si="5">CEILING(SUM(Q5:X5),500)</f>
        <v>212000</v>
      </c>
      <c r="Z5" s="7"/>
      <c r="AA5" s="7"/>
      <c r="AB5" s="7"/>
      <c r="AC5" s="7"/>
      <c r="AD5" s="30"/>
      <c r="AE5" s="7"/>
      <c r="AF5" s="7"/>
      <c r="AG5" s="31"/>
      <c r="AH5" s="32"/>
      <c r="AI5" s="33"/>
      <c r="AK5" s="34"/>
      <c r="AN5" s="35"/>
    </row>
    <row r="6" spans="1:42" ht="24.75" customHeight="1">
      <c r="A6" s="1"/>
      <c r="B6" s="36">
        <v>2</v>
      </c>
      <c r="C6" s="37" t="s">
        <v>28</v>
      </c>
      <c r="D6" s="38" t="s">
        <v>3</v>
      </c>
      <c r="E6" s="39" t="s">
        <v>29</v>
      </c>
      <c r="F6" s="39"/>
      <c r="G6" s="39">
        <v>1</v>
      </c>
      <c r="H6" s="37"/>
      <c r="I6" s="16" t="str">
        <f>IF(P6 &gt;= (DAY(data!$I$4) - 5) * 8, "+", "-")</f>
        <v>-</v>
      </c>
      <c r="J6" s="39" t="s">
        <v>30</v>
      </c>
      <c r="K6" s="40"/>
      <c r="L6" s="41"/>
      <c r="M6" s="41">
        <v>153</v>
      </c>
      <c r="N6" s="42">
        <v>38</v>
      </c>
      <c r="O6" s="43"/>
      <c r="P6" s="22">
        <f t="shared" si="0"/>
        <v>191</v>
      </c>
      <c r="Q6" s="23">
        <f>((data!$A$3/8)*L6)+((data!$B$3/8)*(M6+N6+O6))+(P6*$E$24)</f>
        <v>931125</v>
      </c>
      <c r="R6" s="24">
        <f t="shared" si="1"/>
        <v>0</v>
      </c>
      <c r="S6" s="23">
        <f t="shared" si="2"/>
        <v>23875</v>
      </c>
      <c r="T6" s="25" t="str">
        <f t="shared" si="3"/>
        <v>-</v>
      </c>
      <c r="U6" s="23">
        <f t="shared" si="4"/>
        <v>0</v>
      </c>
      <c r="V6" s="44">
        <f ca="1">IFERROR(__xludf.DUMMYFUNCTION("-12500 * COUNTUNIQUEIFS($J$5:$J$15, $J$5:$J$15, ""&lt;&gt;"") "),-12500)</f>
        <v>-12500</v>
      </c>
      <c r="W6" s="23">
        <f t="shared" ref="W6:W13" si="6">IF(K6="ok",50000+AA6,0+AA6)</f>
        <v>0</v>
      </c>
      <c r="X6" s="45" t="s">
        <v>27</v>
      </c>
      <c r="Y6" s="29">
        <f t="shared" ca="1" si="5"/>
        <v>942500</v>
      </c>
      <c r="Z6" s="7"/>
      <c r="AA6" s="7"/>
      <c r="AB6" s="7"/>
      <c r="AC6" s="7"/>
      <c r="AD6" s="46">
        <f>P6/8</f>
        <v>23.875</v>
      </c>
      <c r="AE6" s="7"/>
      <c r="AF6" s="7">
        <f>AD6-AE6</f>
        <v>23.875</v>
      </c>
      <c r="AG6" s="7">
        <f>AD6+AI6</f>
        <v>34.875</v>
      </c>
      <c r="AH6" s="47">
        <v>88</v>
      </c>
      <c r="AI6" s="7">
        <f>AH6/8</f>
        <v>11</v>
      </c>
      <c r="AK6" s="34">
        <v>1037500</v>
      </c>
      <c r="AL6" s="11" t="str">
        <f>C6</f>
        <v>Arif</v>
      </c>
      <c r="AN6" s="35"/>
      <c r="AO6" s="11">
        <f>AN6*AM6</f>
        <v>0</v>
      </c>
    </row>
    <row r="7" spans="1:42" ht="24.75" customHeight="1">
      <c r="A7" s="1"/>
      <c r="B7" s="12">
        <v>3</v>
      </c>
      <c r="C7" s="37" t="s">
        <v>31</v>
      </c>
      <c r="D7" s="38" t="s">
        <v>32</v>
      </c>
      <c r="E7" s="39" t="s">
        <v>33</v>
      </c>
      <c r="F7" s="39"/>
      <c r="G7" s="37"/>
      <c r="H7" s="37"/>
      <c r="I7" s="16" t="str">
        <f>IF(P7 &gt;= (DAY(data!$I$4) - 5) * 8, "+", "-")</f>
        <v>-</v>
      </c>
      <c r="J7" s="39"/>
      <c r="K7" s="40"/>
      <c r="L7" s="41">
        <v>2</v>
      </c>
      <c r="M7" s="41"/>
      <c r="N7" s="42">
        <v>97</v>
      </c>
      <c r="O7" s="43"/>
      <c r="P7" s="22">
        <f t="shared" si="0"/>
        <v>99</v>
      </c>
      <c r="Q7" s="23">
        <f>((data!$A$3/8)*L7)+((data!$B$3/8)*(M7+N7+O7))+(P7*$E$24)</f>
        <v>482875</v>
      </c>
      <c r="R7" s="24">
        <f t="shared" si="1"/>
        <v>0</v>
      </c>
      <c r="S7" s="23">
        <f t="shared" si="2"/>
        <v>12375</v>
      </c>
      <c r="T7" s="25" t="str">
        <f t="shared" si="3"/>
        <v>-</v>
      </c>
      <c r="U7" s="23">
        <f t="shared" si="4"/>
        <v>0</v>
      </c>
      <c r="V7" s="44">
        <f ca="1">IFERROR(__xludf.DUMMYFUNCTION("-12500 * COUNTUNIQUEIFS($J$5:$J$15, $J$5:$J$15, ""&lt;&gt;"") "),-12500)</f>
        <v>-12500</v>
      </c>
      <c r="W7" s="23">
        <f t="shared" si="6"/>
        <v>0</v>
      </c>
      <c r="X7" s="45" t="s">
        <v>27</v>
      </c>
      <c r="Y7" s="29">
        <f t="shared" ca="1" si="5"/>
        <v>483000</v>
      </c>
      <c r="Z7" s="7"/>
      <c r="AA7" s="7"/>
      <c r="AB7" s="7"/>
      <c r="AC7" s="7"/>
      <c r="AD7" s="46"/>
      <c r="AE7" s="7"/>
      <c r="AF7" s="7"/>
      <c r="AG7" s="7"/>
      <c r="AH7" s="47"/>
      <c r="AI7" s="7"/>
      <c r="AK7" s="34"/>
      <c r="AN7" s="35"/>
    </row>
    <row r="8" spans="1:42" ht="24" customHeight="1">
      <c r="A8" s="1"/>
      <c r="B8" s="36">
        <v>4</v>
      </c>
      <c r="C8" s="37" t="s">
        <v>34</v>
      </c>
      <c r="D8" s="38" t="s">
        <v>3</v>
      </c>
      <c r="E8" s="37"/>
      <c r="F8" s="38"/>
      <c r="G8" s="38">
        <v>1</v>
      </c>
      <c r="H8" s="38"/>
      <c r="I8" s="16" t="str">
        <f>IF(P8 &gt;= (DAY(data!$I$4) - 5) * 8, "+", "-")</f>
        <v>-</v>
      </c>
      <c r="J8" s="37"/>
      <c r="K8" s="38"/>
      <c r="L8" s="48">
        <v>3</v>
      </c>
      <c r="M8" s="42">
        <v>19</v>
      </c>
      <c r="N8" s="42"/>
      <c r="O8" s="49">
        <v>180</v>
      </c>
      <c r="P8" s="22">
        <f t="shared" si="0"/>
        <v>202</v>
      </c>
      <c r="Q8" s="23">
        <f>((data!$A$3/8)*L8)+((data!$B$3/8)*(M8+N8+O8))+(P8*$E$24)</f>
        <v>985125</v>
      </c>
      <c r="R8" s="24">
        <f t="shared" si="1"/>
        <v>50000</v>
      </c>
      <c r="S8" s="23">
        <f t="shared" si="2"/>
        <v>25250</v>
      </c>
      <c r="T8" s="25">
        <f t="shared" si="3"/>
        <v>50000</v>
      </c>
      <c r="U8" s="23">
        <f t="shared" si="4"/>
        <v>0</v>
      </c>
      <c r="V8" s="44">
        <f ca="1">IFERROR(__xludf.DUMMYFUNCTION("-12500 * COUNTUNIQUEIFS($J$5:$J$15, $J$5:$J$15, ""&lt;&gt;"") "),-12500)</f>
        <v>-12500</v>
      </c>
      <c r="W8" s="23">
        <f t="shared" si="6"/>
        <v>0</v>
      </c>
      <c r="X8" s="45">
        <v>800</v>
      </c>
      <c r="Y8" s="29">
        <f t="shared" ca="1" si="5"/>
        <v>1099000</v>
      </c>
      <c r="Z8" s="7"/>
      <c r="AA8" s="7"/>
      <c r="AB8" s="7"/>
      <c r="AC8" s="7"/>
      <c r="AD8" s="46">
        <f t="shared" ref="AD8:AD10" si="7">P8/8</f>
        <v>25.25</v>
      </c>
      <c r="AE8" s="7"/>
      <c r="AF8" s="7"/>
      <c r="AG8" s="7"/>
      <c r="AH8" s="47"/>
      <c r="AI8" s="7"/>
      <c r="AK8" s="34"/>
      <c r="AN8" s="35"/>
    </row>
    <row r="9" spans="1:42" ht="21" customHeight="1">
      <c r="A9" s="1"/>
      <c r="B9" s="12">
        <v>5</v>
      </c>
      <c r="C9" s="38" t="s">
        <v>35</v>
      </c>
      <c r="D9" s="38" t="s">
        <v>3</v>
      </c>
      <c r="E9" s="39" t="s">
        <v>36</v>
      </c>
      <c r="F9" s="39" t="s">
        <v>33</v>
      </c>
      <c r="G9" s="38"/>
      <c r="H9" s="38"/>
      <c r="I9" s="16" t="str">
        <f>IF(P9 &gt;= (DAY(data!$I$4) - 5) * 8, "+", "-")</f>
        <v>+</v>
      </c>
      <c r="J9" s="37"/>
      <c r="K9" s="38"/>
      <c r="L9" s="49">
        <v>36</v>
      </c>
      <c r="M9" s="49">
        <v>46</v>
      </c>
      <c r="N9" s="42">
        <v>160</v>
      </c>
      <c r="O9" s="50"/>
      <c r="P9" s="22">
        <f t="shared" si="0"/>
        <v>242</v>
      </c>
      <c r="Q9" s="23">
        <f>((data!$A$3/8)*L9)+((data!$B$3/8)*(M9+N9+O9))+(P9*$E$24)</f>
        <v>1184250</v>
      </c>
      <c r="R9" s="24">
        <f t="shared" si="1"/>
        <v>0</v>
      </c>
      <c r="S9" s="23" t="str">
        <f t="shared" si="2"/>
        <v>-</v>
      </c>
      <c r="T9" s="25" t="str">
        <f t="shared" si="3"/>
        <v>-</v>
      </c>
      <c r="U9" s="23">
        <f t="shared" si="4"/>
        <v>90750</v>
      </c>
      <c r="V9" s="44">
        <f ca="1">IFERROR(__xludf.DUMMYFUNCTION("-12500 * COUNTUNIQUEIFS($J$5:$J$15, $J$5:$J$15, ""&lt;&gt;"") "),-12500)</f>
        <v>-12500</v>
      </c>
      <c r="W9" s="23">
        <f t="shared" si="6"/>
        <v>0</v>
      </c>
      <c r="X9" s="45">
        <v>19200</v>
      </c>
      <c r="Y9" s="29">
        <f t="shared" ca="1" si="5"/>
        <v>1282000</v>
      </c>
      <c r="Z9" s="7"/>
      <c r="AA9" s="7"/>
      <c r="AB9" s="7"/>
      <c r="AC9" s="7"/>
      <c r="AD9" s="46">
        <f t="shared" si="7"/>
        <v>30.25</v>
      </c>
      <c r="AE9" s="7"/>
      <c r="AF9" s="7">
        <f t="shared" ref="AF9:AF10" si="8">AD9-AE9</f>
        <v>30.25</v>
      </c>
      <c r="AG9" s="7">
        <f t="shared" ref="AG9:AG10" si="9">AD9+AI9</f>
        <v>30.25</v>
      </c>
      <c r="AH9" s="51"/>
      <c r="AI9" s="7">
        <f t="shared" ref="AI9:AI10" si="10">AH9/8</f>
        <v>0</v>
      </c>
      <c r="AK9" s="34">
        <v>637500</v>
      </c>
      <c r="AL9" s="11" t="str">
        <f t="shared" ref="AL9:AL10" si="11">C9</f>
        <v>Henbediona</v>
      </c>
      <c r="AN9" s="35"/>
      <c r="AO9" s="11">
        <f t="shared" ref="AO9:AO10" si="12">AN9*AM9</f>
        <v>0</v>
      </c>
    </row>
    <row r="10" spans="1:42" ht="20.25" customHeight="1">
      <c r="A10" s="52"/>
      <c r="B10" s="36">
        <v>6</v>
      </c>
      <c r="C10" s="38" t="s">
        <v>37</v>
      </c>
      <c r="D10" s="38" t="s">
        <v>32</v>
      </c>
      <c r="E10" s="39" t="s">
        <v>36</v>
      </c>
      <c r="F10" s="53" t="s">
        <v>33</v>
      </c>
      <c r="G10" s="38"/>
      <c r="H10" s="38"/>
      <c r="I10" s="16" t="str">
        <f>IF(P10 &gt;= (DAY(data!$I$4) - 5) * 8, "+", "-")</f>
        <v>-</v>
      </c>
      <c r="J10" s="37"/>
      <c r="K10" s="54"/>
      <c r="L10" s="49">
        <v>48</v>
      </c>
      <c r="M10" s="42">
        <v>8</v>
      </c>
      <c r="N10" s="49">
        <v>113</v>
      </c>
      <c r="O10" s="50"/>
      <c r="P10" s="22">
        <f t="shared" si="0"/>
        <v>169</v>
      </c>
      <c r="Q10" s="23">
        <f>((data!$A$3/8)*L10)+((data!$B$3/8)*(M10+N10+O10))+(P10*$E$24)</f>
        <v>829875</v>
      </c>
      <c r="R10" s="24">
        <f t="shared" si="1"/>
        <v>0</v>
      </c>
      <c r="S10" s="23" t="str">
        <f t="shared" si="2"/>
        <v>-</v>
      </c>
      <c r="T10" s="25" t="str">
        <f t="shared" si="3"/>
        <v>-</v>
      </c>
      <c r="U10" s="23">
        <f t="shared" si="4"/>
        <v>0</v>
      </c>
      <c r="V10" s="44">
        <f ca="1">IFERROR(__xludf.DUMMYFUNCTION("-12500 * COUNTUNIQUEIFS($J$5:$J$15, $J$5:$J$15, ""&lt;&gt;"") "),-12500)</f>
        <v>-12500</v>
      </c>
      <c r="W10" s="23">
        <f t="shared" si="6"/>
        <v>0</v>
      </c>
      <c r="X10" s="45">
        <v>3600</v>
      </c>
      <c r="Y10" s="29">
        <f t="shared" ca="1" si="5"/>
        <v>821000</v>
      </c>
      <c r="Z10" s="7"/>
      <c r="AA10" s="7"/>
      <c r="AB10" s="7"/>
      <c r="AC10" s="7"/>
      <c r="AD10" s="46">
        <f t="shared" si="7"/>
        <v>21.125</v>
      </c>
      <c r="AE10" s="7"/>
      <c r="AF10" s="7">
        <f t="shared" si="8"/>
        <v>21.125</v>
      </c>
      <c r="AG10" s="7">
        <f t="shared" si="9"/>
        <v>23.125</v>
      </c>
      <c r="AH10" s="51">
        <v>16</v>
      </c>
      <c r="AI10" s="7">
        <f t="shared" si="10"/>
        <v>2</v>
      </c>
      <c r="AJ10" s="7"/>
      <c r="AK10" s="55">
        <v>398500</v>
      </c>
      <c r="AL10" s="7" t="str">
        <f t="shared" si="11"/>
        <v>Iman</v>
      </c>
      <c r="AM10" s="7"/>
      <c r="AN10" s="56"/>
      <c r="AO10" s="7">
        <f t="shared" si="12"/>
        <v>0</v>
      </c>
      <c r="AP10" s="7"/>
    </row>
    <row r="11" spans="1:42" ht="20.25" customHeight="1">
      <c r="A11" s="57"/>
      <c r="B11" s="12">
        <v>7</v>
      </c>
      <c r="C11" s="53" t="s">
        <v>38</v>
      </c>
      <c r="D11" s="53" t="s">
        <v>32</v>
      </c>
      <c r="E11" s="37"/>
      <c r="F11" s="38"/>
      <c r="G11" s="38"/>
      <c r="H11" s="38"/>
      <c r="I11" s="16" t="str">
        <f>IF(P11 &gt;= (DAY(data!$I$4) - 5) * 8, "+", "-")</f>
        <v>-</v>
      </c>
      <c r="J11" s="37"/>
      <c r="K11" s="54"/>
      <c r="L11" s="49">
        <v>188</v>
      </c>
      <c r="M11" s="42">
        <v>2</v>
      </c>
      <c r="N11" s="49">
        <v>1</v>
      </c>
      <c r="O11" s="50"/>
      <c r="P11" s="22">
        <f t="shared" si="0"/>
        <v>191</v>
      </c>
      <c r="Q11" s="23">
        <f>((data!$A$3/8)*L11)+((data!$B$3/8)*(M11+N11+O11))+(P11*$E$24)</f>
        <v>954625</v>
      </c>
      <c r="R11" s="24">
        <f t="shared" si="1"/>
        <v>0</v>
      </c>
      <c r="S11" s="23">
        <f t="shared" si="2"/>
        <v>23875</v>
      </c>
      <c r="T11" s="25" t="str">
        <f t="shared" si="3"/>
        <v>-</v>
      </c>
      <c r="U11" s="23">
        <f t="shared" si="4"/>
        <v>0</v>
      </c>
      <c r="V11" s="44">
        <f ca="1">IFERROR(__xludf.DUMMYFUNCTION("-12500 * COUNTUNIQUEIFS($J$5:$J$15, $J$5:$J$15, ""&lt;&gt;"") "),-12500)</f>
        <v>-12500</v>
      </c>
      <c r="W11" s="23">
        <f t="shared" si="6"/>
        <v>0</v>
      </c>
      <c r="X11" s="45">
        <v>6800</v>
      </c>
      <c r="Y11" s="29">
        <f t="shared" ca="1" si="5"/>
        <v>973000</v>
      </c>
      <c r="Z11" s="31"/>
      <c r="AA11" s="31"/>
      <c r="AB11" s="31"/>
      <c r="AC11" s="31"/>
      <c r="AD11" s="46"/>
      <c r="AE11" s="7"/>
      <c r="AF11" s="7"/>
      <c r="AG11" s="7"/>
      <c r="AH11" s="51"/>
      <c r="AI11" s="7"/>
      <c r="AJ11" s="31"/>
      <c r="AK11" s="58"/>
      <c r="AL11" s="31"/>
      <c r="AM11" s="31"/>
      <c r="AN11" s="59"/>
      <c r="AO11" s="31"/>
      <c r="AP11" s="31"/>
    </row>
    <row r="12" spans="1:42" ht="27" customHeight="1">
      <c r="A12" s="1"/>
      <c r="B12" s="36">
        <v>8</v>
      </c>
      <c r="C12" s="37" t="s">
        <v>39</v>
      </c>
      <c r="D12" s="38" t="s">
        <v>3</v>
      </c>
      <c r="E12" s="39" t="s">
        <v>29</v>
      </c>
      <c r="F12" s="39" t="s">
        <v>33</v>
      </c>
      <c r="G12" s="38">
        <v>1</v>
      </c>
      <c r="H12" s="38"/>
      <c r="I12" s="16" t="str">
        <f>IF(P12 &gt;= (DAY(data!$I$4) - 5) * 8, "+", "-")</f>
        <v>+</v>
      </c>
      <c r="J12" s="39" t="s">
        <v>30</v>
      </c>
      <c r="K12" s="54"/>
      <c r="L12" s="42">
        <v>160</v>
      </c>
      <c r="M12" s="42">
        <v>30</v>
      </c>
      <c r="N12" s="48">
        <v>29</v>
      </c>
      <c r="O12" s="50"/>
      <c r="P12" s="22">
        <f t="shared" si="0"/>
        <v>219</v>
      </c>
      <c r="Q12" s="23">
        <f>((data!$A$3/8)*L12)+((data!$B$3/8)*(M12+N12+O12))+(P12*$E$24)</f>
        <v>1087625</v>
      </c>
      <c r="R12" s="24">
        <f t="shared" si="1"/>
        <v>0</v>
      </c>
      <c r="S12" s="23" t="str">
        <f t="shared" si="2"/>
        <v>-</v>
      </c>
      <c r="T12" s="25" t="str">
        <f t="shared" si="3"/>
        <v>-</v>
      </c>
      <c r="U12" s="23">
        <f t="shared" si="4"/>
        <v>82125</v>
      </c>
      <c r="V12" s="44">
        <f ca="1">IFERROR(__xludf.DUMMYFUNCTION("-12500 * COUNTUNIQUEIFS($J$5:$J$15, $J$5:$J$15, ""&lt;&gt;"") "),-12500)</f>
        <v>-12500</v>
      </c>
      <c r="W12" s="23">
        <f t="shared" si="6"/>
        <v>0</v>
      </c>
      <c r="X12" s="45">
        <v>8200</v>
      </c>
      <c r="Y12" s="29">
        <f t="shared" ca="1" si="5"/>
        <v>1165500</v>
      </c>
      <c r="AD12" s="46">
        <f t="shared" ref="AD12:AD13" si="13">P12/8</f>
        <v>27.375</v>
      </c>
      <c r="AE12" s="7"/>
      <c r="AF12" s="7">
        <f t="shared" ref="AF12:AF13" si="14">AD12-AE12</f>
        <v>27.375</v>
      </c>
      <c r="AG12" s="7">
        <f t="shared" ref="AG12:AG13" si="15">AD12+AI12</f>
        <v>32.375</v>
      </c>
      <c r="AH12" s="51">
        <v>40</v>
      </c>
      <c r="AI12" s="7">
        <f t="shared" ref="AI12:AI13" si="16">AH12/8</f>
        <v>5</v>
      </c>
      <c r="AK12" s="34">
        <v>1120500</v>
      </c>
      <c r="AL12" s="11" t="str">
        <f t="shared" ref="AL12:AL13" si="17">C12</f>
        <v>Ridwan</v>
      </c>
      <c r="AN12" s="35"/>
      <c r="AO12" s="11">
        <f t="shared" ref="AO12:AO13" si="18">AN12*AM12</f>
        <v>0</v>
      </c>
    </row>
    <row r="13" spans="1:42" ht="25.5" customHeight="1">
      <c r="A13" s="1"/>
      <c r="B13" s="12">
        <v>9</v>
      </c>
      <c r="C13" s="37" t="s">
        <v>40</v>
      </c>
      <c r="D13" s="38" t="s">
        <v>3</v>
      </c>
      <c r="E13" s="37"/>
      <c r="F13" s="38"/>
      <c r="G13" s="38">
        <v>1</v>
      </c>
      <c r="H13" s="38"/>
      <c r="I13" s="16" t="str">
        <f>IF(P13 &gt;= (DAY(data!$I$4) - 5) * 8, "+", "-")</f>
        <v>-</v>
      </c>
      <c r="J13" s="37"/>
      <c r="K13" s="54"/>
      <c r="L13" s="49">
        <v>16</v>
      </c>
      <c r="M13" s="42">
        <v>75</v>
      </c>
      <c r="N13" s="49">
        <v>11</v>
      </c>
      <c r="O13" s="50"/>
      <c r="P13" s="22">
        <f t="shared" si="0"/>
        <v>102</v>
      </c>
      <c r="Q13" s="23">
        <f>((data!$A$3/8)*L13)+((data!$B$3/8)*(M13+N13+O13))+(P13*$E$24)</f>
        <v>499250</v>
      </c>
      <c r="R13" s="24">
        <f t="shared" si="1"/>
        <v>50000</v>
      </c>
      <c r="S13" s="23">
        <f t="shared" si="2"/>
        <v>12750</v>
      </c>
      <c r="T13" s="25">
        <f t="shared" si="3"/>
        <v>50000</v>
      </c>
      <c r="U13" s="23">
        <f t="shared" si="4"/>
        <v>0</v>
      </c>
      <c r="V13" s="44">
        <f ca="1">IFERROR(__xludf.DUMMYFUNCTION("-12500 * COUNTUNIQUEIFS($J$5:$J$15, $J$5:$J$15, ""&lt;&gt;"") "),-12500)</f>
        <v>-12500</v>
      </c>
      <c r="W13" s="23">
        <f t="shared" si="6"/>
        <v>0</v>
      </c>
      <c r="X13" s="45">
        <v>400</v>
      </c>
      <c r="Y13" s="29">
        <f t="shared" ca="1" si="5"/>
        <v>600000</v>
      </c>
      <c r="AD13" s="46">
        <f t="shared" si="13"/>
        <v>12.75</v>
      </c>
      <c r="AE13" s="7"/>
      <c r="AF13" s="7">
        <f t="shared" si="14"/>
        <v>12.75</v>
      </c>
      <c r="AG13" s="7">
        <f t="shared" si="15"/>
        <v>12.75</v>
      </c>
      <c r="AH13" s="51"/>
      <c r="AI13" s="7">
        <f t="shared" si="16"/>
        <v>0</v>
      </c>
      <c r="AK13" s="34">
        <v>969000</v>
      </c>
      <c r="AL13" s="11" t="str">
        <f t="shared" si="17"/>
        <v>Ronald</v>
      </c>
      <c r="AN13" s="35"/>
      <c r="AO13" s="11">
        <f t="shared" si="18"/>
        <v>0</v>
      </c>
    </row>
    <row r="14" spans="1:42" ht="25.5" customHeight="1">
      <c r="A14" s="1"/>
      <c r="B14" s="36">
        <v>10</v>
      </c>
      <c r="C14" s="39" t="s">
        <v>41</v>
      </c>
      <c r="D14" s="38" t="s">
        <v>3</v>
      </c>
      <c r="E14" s="37"/>
      <c r="F14" s="38"/>
      <c r="G14" s="38"/>
      <c r="H14" s="38"/>
      <c r="I14" s="60">
        <v>0</v>
      </c>
      <c r="J14" s="37"/>
      <c r="K14" s="54"/>
      <c r="L14" s="49">
        <v>40</v>
      </c>
      <c r="M14" s="42"/>
      <c r="N14" s="49"/>
      <c r="O14" s="50"/>
      <c r="P14" s="22">
        <f t="shared" si="0"/>
        <v>40</v>
      </c>
      <c r="Q14" s="23">
        <f>((data!$A$3/8)*L14)+((data!$B$3/8)*(M14+N14+O14))+(P14*$E$24)</f>
        <v>200000</v>
      </c>
      <c r="R14" s="24">
        <f t="shared" si="1"/>
        <v>0</v>
      </c>
      <c r="S14" s="23">
        <f t="shared" si="2"/>
        <v>5000</v>
      </c>
      <c r="T14" s="25">
        <f t="shared" si="3"/>
        <v>50000</v>
      </c>
      <c r="U14" s="23">
        <f t="shared" si="4"/>
        <v>0</v>
      </c>
      <c r="V14" s="26" t="s">
        <v>27</v>
      </c>
      <c r="W14" s="27">
        <v>90000</v>
      </c>
      <c r="X14" s="45" t="s">
        <v>27</v>
      </c>
      <c r="Y14" s="29">
        <f t="shared" si="5"/>
        <v>345000</v>
      </c>
      <c r="AD14" s="46"/>
      <c r="AE14" s="31"/>
      <c r="AF14" s="31"/>
      <c r="AG14" s="31"/>
      <c r="AH14" s="51"/>
      <c r="AI14" s="31"/>
      <c r="AK14" s="34"/>
      <c r="AN14" s="35"/>
    </row>
    <row r="15" spans="1:42" ht="25.5" customHeight="1">
      <c r="A15" s="1"/>
      <c r="B15" s="12">
        <v>11</v>
      </c>
      <c r="C15" s="37" t="s">
        <v>42</v>
      </c>
      <c r="D15" s="38" t="s">
        <v>3</v>
      </c>
      <c r="E15" s="37"/>
      <c r="F15" s="38"/>
      <c r="G15" s="38">
        <v>1</v>
      </c>
      <c r="H15" s="38"/>
      <c r="I15" s="16" t="str">
        <f>IF(P15 &gt;= (DAY(data!$I$4) - 5) * 8, "+", "-")</f>
        <v>-</v>
      </c>
      <c r="J15" s="37"/>
      <c r="K15" s="54"/>
      <c r="L15" s="49">
        <v>3</v>
      </c>
      <c r="M15" s="61">
        <v>163</v>
      </c>
      <c r="N15" s="61">
        <v>8</v>
      </c>
      <c r="O15" s="62">
        <v>32</v>
      </c>
      <c r="P15" s="22">
        <f t="shared" si="0"/>
        <v>206</v>
      </c>
      <c r="Q15" s="23">
        <f>((data!$A$3/8)*L15)+((data!$B$3/8)*(M15+N15+O15))+(P15*$E$24)</f>
        <v>1004625</v>
      </c>
      <c r="R15" s="24">
        <f t="shared" si="1"/>
        <v>50000</v>
      </c>
      <c r="S15" s="23">
        <f t="shared" si="2"/>
        <v>25750</v>
      </c>
      <c r="T15" s="25">
        <f t="shared" si="3"/>
        <v>50000</v>
      </c>
      <c r="U15" s="23">
        <f t="shared" si="4"/>
        <v>0</v>
      </c>
      <c r="V15" s="44">
        <f ca="1">IFERROR(__xludf.DUMMYFUNCTION("-12500 * COUNTUNIQUEIFS($J$5:$J$15, $J$5:$J$15, ""&lt;&gt;"") "),-12500)</f>
        <v>-12500</v>
      </c>
      <c r="W15" s="23">
        <f t="shared" ref="W15:W17" si="19">IF(K15="ok",50000+AA15,0+AA15)</f>
        <v>0</v>
      </c>
      <c r="X15" s="45">
        <v>10800</v>
      </c>
      <c r="Y15" s="29">
        <f t="shared" ca="1" si="5"/>
        <v>1129000</v>
      </c>
      <c r="AD15" s="46">
        <f t="shared" ref="AD15:AD16" si="20">P15/8</f>
        <v>25.75</v>
      </c>
      <c r="AF15" s="11">
        <f t="shared" ref="AF15:AF16" si="21">AD15-AE15</f>
        <v>25.75</v>
      </c>
      <c r="AG15" s="11">
        <f>AD15+AI15</f>
        <v>25.75</v>
      </c>
      <c r="AH15" s="63"/>
      <c r="AI15" s="11">
        <f>AH15/8</f>
        <v>0</v>
      </c>
      <c r="AK15" s="34">
        <v>756500</v>
      </c>
      <c r="AL15" s="11" t="str">
        <f t="shared" ref="AL15:AL17" si="22">C15</f>
        <v>Yulika</v>
      </c>
      <c r="AN15" s="35"/>
      <c r="AO15" s="11">
        <f t="shared" ref="AO15:AO16" si="23">AN15*AM15</f>
        <v>0</v>
      </c>
    </row>
    <row r="16" spans="1:42" ht="25.5" hidden="1" customHeight="1">
      <c r="A16" s="1"/>
      <c r="B16" s="64">
        <v>13</v>
      </c>
      <c r="C16" s="65"/>
      <c r="D16" s="66"/>
      <c r="E16" s="67"/>
      <c r="F16" s="68"/>
      <c r="G16" s="68"/>
      <c r="H16" s="68"/>
      <c r="I16" s="69"/>
      <c r="J16" s="68"/>
      <c r="K16" s="70"/>
      <c r="L16" s="71"/>
      <c r="M16" s="72"/>
      <c r="N16" s="72"/>
      <c r="O16" s="72"/>
      <c r="P16" s="73">
        <f t="shared" si="0"/>
        <v>0</v>
      </c>
      <c r="Q16" s="74">
        <f>((data!$A$3/8)*L16)+((data!$B$3/8)*(M16+N16+O16))+(P16*$E$24)</f>
        <v>0</v>
      </c>
      <c r="R16" s="74">
        <f t="shared" ref="R16:R17" si="24">IF(D16="Percobaan",0,IF(AND(E16="",G16&gt;0,H16="ok"),100000,IF(AND(E16="",G16&gt;0,H16=""),50000,IF(AND(E16=""),100000,0))))</f>
        <v>100000</v>
      </c>
      <c r="S16" s="74">
        <f>((P16/8)*1000)</f>
        <v>0</v>
      </c>
      <c r="T16" s="74">
        <f t="shared" ref="T16:T17" si="25">IF(AND(G16&gt;0,H16=""),50000,IF(AND(G16&gt;0,H16="ok"),G16*50000,0))</f>
        <v>0</v>
      </c>
      <c r="U16" s="74">
        <f t="shared" ref="U16:U17" si="26">IF(OR(D16="Percobaan",D16=""),0,IF(I16="+",P16/8*3000,IF(I16="-",0,P16/8*2000)))</f>
        <v>0</v>
      </c>
      <c r="V16" s="75">
        <f t="shared" ref="V16:V17" si="27">J16*-12500</f>
        <v>0</v>
      </c>
      <c r="W16" s="76">
        <f t="shared" si="19"/>
        <v>0</v>
      </c>
      <c r="X16" s="74"/>
      <c r="Y16" s="29">
        <f t="shared" si="5"/>
        <v>100000</v>
      </c>
      <c r="AD16" s="11">
        <f t="shared" si="20"/>
        <v>0</v>
      </c>
      <c r="AE16" s="11">
        <f t="shared" ref="AE16:AE17" si="28">AD16+AI16</f>
        <v>0</v>
      </c>
      <c r="AF16" s="11">
        <f t="shared" si="21"/>
        <v>0</v>
      </c>
      <c r="AK16" s="34">
        <v>0</v>
      </c>
      <c r="AL16" s="11">
        <f t="shared" si="22"/>
        <v>0</v>
      </c>
      <c r="AN16" s="35"/>
      <c r="AO16" s="11">
        <f t="shared" si="23"/>
        <v>0</v>
      </c>
    </row>
    <row r="17" spans="1:38" ht="25.5" hidden="1" customHeight="1">
      <c r="A17" s="1"/>
      <c r="B17" s="64">
        <v>14</v>
      </c>
      <c r="C17" s="65"/>
      <c r="D17" s="66"/>
      <c r="E17" s="67">
        <v>0</v>
      </c>
      <c r="F17" s="68"/>
      <c r="G17" s="68"/>
      <c r="H17" s="68"/>
      <c r="I17" s="77" t="s">
        <v>27</v>
      </c>
      <c r="J17" s="68"/>
      <c r="K17" s="70"/>
      <c r="L17" s="71"/>
      <c r="M17" s="71"/>
      <c r="N17" s="71"/>
      <c r="O17" s="71"/>
      <c r="P17" s="73">
        <f t="shared" si="0"/>
        <v>0</v>
      </c>
      <c r="Q17" s="74">
        <f>((data!$A$3/8)*L17)+((data!$B$3/8)*(M17+N17+O17))+(P17*$E$24)</f>
        <v>0</v>
      </c>
      <c r="R17" s="74">
        <f t="shared" si="24"/>
        <v>0</v>
      </c>
      <c r="S17" s="74">
        <v>0</v>
      </c>
      <c r="T17" s="74">
        <f t="shared" si="25"/>
        <v>0</v>
      </c>
      <c r="U17" s="74">
        <f t="shared" si="26"/>
        <v>0</v>
      </c>
      <c r="V17" s="75">
        <f t="shared" si="27"/>
        <v>0</v>
      </c>
      <c r="W17" s="76">
        <f t="shared" si="19"/>
        <v>0</v>
      </c>
      <c r="X17" s="74"/>
      <c r="Y17" s="29">
        <f t="shared" si="5"/>
        <v>0</v>
      </c>
      <c r="AE17" s="11">
        <f t="shared" si="28"/>
        <v>0</v>
      </c>
      <c r="AK17" s="34">
        <v>0</v>
      </c>
      <c r="AL17" s="11">
        <f t="shared" si="22"/>
        <v>0</v>
      </c>
    </row>
    <row r="18" spans="1:38" ht="25.5" customHeight="1">
      <c r="A18" s="1"/>
      <c r="B18" s="78"/>
      <c r="C18" s="79"/>
      <c r="D18" s="79"/>
      <c r="E18" s="80"/>
      <c r="F18" s="79"/>
      <c r="G18" s="81"/>
      <c r="H18" s="81"/>
      <c r="I18" s="81"/>
      <c r="J18" s="80"/>
      <c r="K18" s="82"/>
      <c r="L18" s="83">
        <f>SUM(L5:L15)</f>
        <v>496</v>
      </c>
      <c r="M18" s="83">
        <f t="shared" ref="M18:N18" si="29">SUM(M5:M15)</f>
        <v>496</v>
      </c>
      <c r="N18" s="83">
        <f t="shared" si="29"/>
        <v>481</v>
      </c>
      <c r="O18" s="83">
        <f>SUM(O6:O16)</f>
        <v>212</v>
      </c>
      <c r="P18" s="84">
        <f t="shared" si="0"/>
        <v>1685</v>
      </c>
      <c r="Q18" s="85">
        <f>SUM(Q5:Q16)</f>
        <v>8276375</v>
      </c>
      <c r="R18" s="85">
        <f t="shared" ref="Q18:X18" si="30">SUM(R6:R16)</f>
        <v>250000</v>
      </c>
      <c r="S18" s="85">
        <f t="shared" si="30"/>
        <v>128875</v>
      </c>
      <c r="T18" s="85">
        <f t="shared" si="30"/>
        <v>200000</v>
      </c>
      <c r="U18" s="85">
        <f t="shared" si="30"/>
        <v>172875</v>
      </c>
      <c r="V18" s="86">
        <f t="shared" ca="1" si="30"/>
        <v>-112500</v>
      </c>
      <c r="W18" s="85">
        <f t="shared" si="30"/>
        <v>90000</v>
      </c>
      <c r="X18" s="85">
        <f t="shared" si="30"/>
        <v>49800</v>
      </c>
      <c r="Y18" s="87">
        <f t="shared" ca="1" si="5"/>
        <v>9055500</v>
      </c>
      <c r="AH18" s="11">
        <f t="shared" ref="AH18:AI18" si="31">SUM(AH6:AH15)</f>
        <v>144</v>
      </c>
      <c r="AI18" s="11">
        <f t="shared" si="31"/>
        <v>18</v>
      </c>
      <c r="AK18" s="88">
        <f>SUM(AK6:AK17)</f>
        <v>4919500</v>
      </c>
    </row>
    <row r="19" spans="1:38" ht="25.5" customHeight="1">
      <c r="A19" s="1"/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132">
        <f>SUM(L18:N18)</f>
        <v>1473</v>
      </c>
      <c r="M19" s="130"/>
      <c r="N19" s="130"/>
      <c r="O19" s="91"/>
      <c r="P19" s="91"/>
      <c r="Q19" s="91"/>
      <c r="R19" s="91"/>
      <c r="S19" s="91"/>
      <c r="T19" s="91"/>
      <c r="U19" s="91"/>
      <c r="V19" s="91"/>
      <c r="W19" s="133">
        <f ca="1">NOW()</f>
        <v>46180.644734259258</v>
      </c>
      <c r="X19" s="130"/>
      <c r="Y19" s="91"/>
    </row>
    <row r="20" spans="1:38" ht="25.5" hidden="1" customHeight="1">
      <c r="A20" s="1"/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38" ht="25.5" hidden="1" customHeight="1">
      <c r="A21" s="1"/>
      <c r="B21" s="92"/>
      <c r="C21" s="92"/>
      <c r="D21" s="92"/>
      <c r="E21" s="93"/>
      <c r="F21" s="92"/>
      <c r="G21" s="92"/>
      <c r="H21" s="94"/>
      <c r="I21" s="95"/>
      <c r="J21" s="95"/>
      <c r="K21" s="89"/>
      <c r="L21" s="96">
        <f>SUM(L18:N18)</f>
        <v>1473</v>
      </c>
      <c r="M21" s="97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38" ht="25.5" hidden="1" customHeight="1">
      <c r="A22" s="1"/>
      <c r="B22" s="93"/>
      <c r="C22" s="93"/>
      <c r="D22" s="93"/>
      <c r="E22" s="93"/>
      <c r="F22" s="93"/>
      <c r="G22" s="93"/>
      <c r="H22" s="94"/>
      <c r="I22" s="94"/>
      <c r="J22" s="94"/>
      <c r="K22" s="95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</row>
    <row r="23" spans="1:38" ht="25.5" hidden="1" customHeight="1">
      <c r="A23" s="1"/>
      <c r="B23" s="99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pans="1:38" ht="25.5" customHeight="1">
      <c r="A24" s="1"/>
      <c r="B24" s="100"/>
      <c r="C24" s="100" t="s">
        <v>43</v>
      </c>
      <c r="D24" s="100"/>
      <c r="E24" s="134">
        <f>IF(L19&gt;0,data!F3/L19)</f>
        <v>0</v>
      </c>
      <c r="F24" s="127"/>
      <c r="G24" s="93"/>
      <c r="H24" s="93"/>
      <c r="I24" s="93"/>
      <c r="J24" s="101" t="s">
        <v>44</v>
      </c>
      <c r="K24" s="101"/>
      <c r="L24" s="101"/>
      <c r="M24" s="101"/>
      <c r="N24" s="101"/>
      <c r="O24" s="101"/>
      <c r="P24" s="101"/>
      <c r="Q24" s="91"/>
      <c r="R24" s="91"/>
      <c r="S24" s="91"/>
      <c r="T24" s="91"/>
      <c r="U24" s="91"/>
      <c r="V24" s="91"/>
      <c r="W24" s="91"/>
      <c r="X24" s="94"/>
      <c r="Y24" s="94"/>
    </row>
    <row r="25" spans="1:38" ht="25.5" hidden="1" customHeight="1">
      <c r="A25" s="1"/>
      <c r="B25" s="102"/>
      <c r="C25" s="102"/>
      <c r="D25" s="102"/>
      <c r="E25" s="95"/>
      <c r="F25" s="95"/>
      <c r="G25" s="93"/>
      <c r="H25" s="93"/>
      <c r="I25" s="93"/>
      <c r="J25" s="93"/>
      <c r="K25" s="103"/>
      <c r="L25" s="103"/>
      <c r="M25" s="103"/>
      <c r="N25" s="103"/>
      <c r="O25" s="104"/>
      <c r="P25" s="104"/>
      <c r="Q25" s="91"/>
      <c r="R25" s="91"/>
      <c r="S25" s="91"/>
      <c r="T25" s="91"/>
      <c r="U25" s="91"/>
      <c r="V25" s="91"/>
      <c r="W25" s="91"/>
      <c r="X25" s="94"/>
      <c r="Y25" s="94"/>
    </row>
    <row r="26" spans="1:38" ht="25.5" hidden="1" customHeight="1">
      <c r="A26" s="1"/>
      <c r="B26" s="95"/>
      <c r="C26" s="95"/>
      <c r="D26" s="95"/>
      <c r="E26" s="95"/>
      <c r="F26" s="95"/>
      <c r="G26" s="93"/>
      <c r="H26" s="93"/>
      <c r="I26" s="93"/>
      <c r="J26" s="93"/>
      <c r="K26" s="104"/>
      <c r="L26" s="104"/>
      <c r="M26" s="104"/>
      <c r="N26" s="103"/>
      <c r="O26" s="104"/>
      <c r="P26" s="104"/>
      <c r="Q26" s="91"/>
      <c r="R26" s="91"/>
      <c r="S26" s="91"/>
      <c r="T26" s="91"/>
      <c r="U26" s="91"/>
      <c r="V26" s="91"/>
      <c r="W26" s="91"/>
      <c r="X26" s="94"/>
      <c r="Y26" s="94"/>
    </row>
    <row r="27" spans="1:38" ht="25.5" customHeight="1">
      <c r="A27" s="1"/>
      <c r="B27" s="125" t="s">
        <v>45</v>
      </c>
      <c r="C27" s="126"/>
      <c r="D27" s="126"/>
      <c r="E27" s="127"/>
      <c r="F27" s="105">
        <v>2</v>
      </c>
      <c r="G27" s="93"/>
      <c r="H27" s="93"/>
      <c r="I27" s="93"/>
      <c r="J27" s="135"/>
      <c r="K27" s="130"/>
      <c r="L27" s="130"/>
      <c r="M27" s="130"/>
      <c r="N27" s="130"/>
      <c r="O27" s="130"/>
      <c r="P27" s="130"/>
      <c r="Q27" s="91"/>
      <c r="R27" s="91"/>
      <c r="S27" s="91"/>
      <c r="T27" s="91"/>
      <c r="U27" s="91"/>
      <c r="V27" s="91"/>
      <c r="W27" s="91"/>
      <c r="X27" s="106">
        <f>1.5*data!A3</f>
        <v>60000</v>
      </c>
      <c r="Y27" s="107">
        <f t="shared" ref="Y27:Y28" si="32">X27/8</f>
        <v>7500</v>
      </c>
    </row>
    <row r="28" spans="1:38" ht="25.5" customHeight="1">
      <c r="A28" s="1"/>
      <c r="B28" s="125" t="s">
        <v>46</v>
      </c>
      <c r="C28" s="126"/>
      <c r="D28" s="126"/>
      <c r="E28" s="127"/>
      <c r="F28" s="108">
        <f>31*24*F27</f>
        <v>1488</v>
      </c>
      <c r="G28" s="109"/>
      <c r="H28" s="108"/>
      <c r="I28" s="109"/>
      <c r="J28" s="130"/>
      <c r="K28" s="130"/>
      <c r="L28" s="130"/>
      <c r="M28" s="130"/>
      <c r="N28" s="130"/>
      <c r="O28" s="130"/>
      <c r="P28" s="130"/>
      <c r="Q28" s="91"/>
      <c r="R28" s="91"/>
      <c r="S28" s="91"/>
      <c r="T28" s="91"/>
      <c r="U28" s="91"/>
      <c r="V28" s="91"/>
      <c r="W28" s="91"/>
      <c r="X28" s="106">
        <f>X27-data!A3</f>
        <v>20000</v>
      </c>
      <c r="Y28" s="107">
        <f t="shared" si="32"/>
        <v>2500</v>
      </c>
    </row>
    <row r="29" spans="1:38" ht="25.5" customHeight="1">
      <c r="A29" s="1"/>
      <c r="B29" s="125" t="s">
        <v>47</v>
      </c>
      <c r="C29" s="126"/>
      <c r="D29" s="126"/>
      <c r="E29" s="127"/>
      <c r="F29" s="108">
        <v>0</v>
      </c>
      <c r="G29" s="109"/>
      <c r="H29" s="109"/>
      <c r="I29" s="109"/>
      <c r="J29" s="110">
        <f>F30-L19</f>
        <v>15</v>
      </c>
      <c r="K29" s="104"/>
      <c r="L29" s="111"/>
      <c r="M29" s="104"/>
      <c r="N29" s="103"/>
      <c r="O29" s="104"/>
      <c r="P29" s="112"/>
      <c r="Q29" s="91"/>
      <c r="R29" s="91"/>
      <c r="S29" s="91"/>
      <c r="T29" s="91"/>
      <c r="U29" s="91"/>
      <c r="V29" s="91"/>
      <c r="W29" s="91"/>
      <c r="X29" s="94"/>
      <c r="Y29" s="94"/>
    </row>
    <row r="30" spans="1:38" ht="25.5" customHeight="1">
      <c r="A30" s="1"/>
      <c r="B30" s="125" t="s">
        <v>48</v>
      </c>
      <c r="C30" s="126"/>
      <c r="D30" s="126"/>
      <c r="E30" s="127"/>
      <c r="F30" s="113">
        <f>F28-F29</f>
        <v>1488</v>
      </c>
      <c r="G30" s="114"/>
      <c r="H30" s="114"/>
      <c r="I30" s="114"/>
      <c r="J30" s="114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4"/>
      <c r="Y30" s="94"/>
    </row>
    <row r="31" spans="1:38" ht="25.5" customHeight="1">
      <c r="A31" s="1"/>
      <c r="B31" s="128" t="s">
        <v>49</v>
      </c>
      <c r="C31" s="126"/>
      <c r="D31" s="126"/>
      <c r="E31" s="127"/>
      <c r="F31" s="115">
        <f>P18</f>
        <v>1685</v>
      </c>
      <c r="G31" s="114"/>
      <c r="H31" s="114"/>
      <c r="I31" s="114"/>
      <c r="J31" s="114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8"/>
      <c r="Y31" s="98"/>
    </row>
    <row r="32" spans="1:38" ht="25.5" customHeight="1">
      <c r="A32" s="1"/>
      <c r="B32" s="128" t="s">
        <v>50</v>
      </c>
      <c r="C32" s="126"/>
      <c r="D32" s="126"/>
      <c r="E32" s="127"/>
      <c r="F32" s="116">
        <f>-(F30-F31)</f>
        <v>197</v>
      </c>
      <c r="G32" s="109"/>
      <c r="H32" s="109"/>
      <c r="I32" s="109"/>
      <c r="J32" s="114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89"/>
      <c r="Y32" s="95"/>
    </row>
    <row r="33" spans="25:25" ht="25.5" customHeight="1">
      <c r="Y33" s="117"/>
    </row>
    <row r="34" spans="25:25" ht="25.5" customHeight="1"/>
    <row r="35" spans="25:25" ht="15.75" customHeight="1"/>
    <row r="36" spans="25:25" ht="15.75" customHeight="1"/>
    <row r="37" spans="25:25" ht="15.75" customHeight="1"/>
    <row r="38" spans="25:25" ht="15.75" customHeight="1"/>
    <row r="39" spans="25:25" ht="15.75" customHeight="1"/>
    <row r="40" spans="25:25" ht="15.75" customHeight="1"/>
    <row r="41" spans="25:25" ht="15.75" customHeight="1"/>
    <row r="42" spans="25:25" ht="15.75" customHeight="1"/>
    <row r="43" spans="25:25" ht="15.75" customHeight="1"/>
    <row r="44" spans="25:25" ht="15.75" customHeight="1"/>
    <row r="45" spans="25:25" ht="15.75" customHeight="1"/>
    <row r="46" spans="25:25" ht="15.75" customHeight="1"/>
    <row r="47" spans="25:25" ht="15.75" customHeight="1"/>
    <row r="48" spans="25:2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27:E27"/>
    <mergeCell ref="J27:P28"/>
    <mergeCell ref="B3:D3"/>
    <mergeCell ref="AH4:AI4"/>
    <mergeCell ref="L19:N19"/>
    <mergeCell ref="W19:X19"/>
    <mergeCell ref="E24:F24"/>
    <mergeCell ref="B28:E28"/>
    <mergeCell ref="B29:E29"/>
    <mergeCell ref="B30:E30"/>
    <mergeCell ref="B31:E31"/>
    <mergeCell ref="B32:E32"/>
  </mergeCells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:AD17">
    <cfRule type="cellIs" dxfId="1" priority="2" operator="greaterThan">
      <formula>26</formula>
    </cfRule>
    <cfRule type="cellIs" dxfId="0" priority="3" operator="lessThan">
      <formula>24</formula>
    </cfRule>
  </conditionalFormatting>
  <pageMargins left="0.25" right="0.25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J999"/>
  <sheetViews>
    <sheetView showGridLines="0" workbookViewId="0"/>
  </sheetViews>
  <sheetFormatPr defaultColWidth="14.42578125" defaultRowHeight="15" customHeight="1"/>
  <cols>
    <col min="1" max="2" width="9" customWidth="1"/>
    <col min="3" max="3" width="3.42578125" customWidth="1"/>
    <col min="4" max="4" width="9.28515625" customWidth="1"/>
    <col min="5" max="5" width="17.42578125" customWidth="1"/>
    <col min="6" max="6" width="13" customWidth="1"/>
    <col min="7" max="7" width="18.42578125" customWidth="1"/>
    <col min="8" max="26" width="9" customWidth="1"/>
  </cols>
  <sheetData>
    <row r="5" spans="4:10">
      <c r="D5" s="136" t="s">
        <v>51</v>
      </c>
      <c r="E5" s="137"/>
      <c r="F5" s="137"/>
      <c r="G5" s="138"/>
    </row>
    <row r="6" spans="4:10">
      <c r="D6" s="118" t="s">
        <v>39</v>
      </c>
      <c r="E6" s="118" t="s">
        <v>52</v>
      </c>
      <c r="F6" s="118" t="s">
        <v>53</v>
      </c>
      <c r="G6" s="118"/>
      <c r="J6" s="119"/>
    </row>
    <row r="7" spans="4:10">
      <c r="D7" s="118" t="s">
        <v>37</v>
      </c>
      <c r="E7" s="118"/>
      <c r="F7" s="118"/>
      <c r="G7" s="118"/>
    </row>
    <row r="10" spans="4:10">
      <c r="D10" s="139"/>
      <c r="E10" s="130"/>
      <c r="F10" s="130"/>
      <c r="G10" s="130"/>
    </row>
    <row r="11" spans="4:10">
      <c r="D11" s="120"/>
      <c r="E11" s="120"/>
      <c r="F11" s="120"/>
      <c r="G11" s="120"/>
    </row>
    <row r="12" spans="4:10">
      <c r="D12" s="120"/>
      <c r="E12" s="120"/>
      <c r="F12" s="120"/>
      <c r="G12" s="120"/>
    </row>
    <row r="15" spans="4:10">
      <c r="D15" s="118" t="s">
        <v>54</v>
      </c>
      <c r="E15" s="118" t="s">
        <v>55</v>
      </c>
    </row>
    <row r="16" spans="4:10">
      <c r="D16" s="118" t="s">
        <v>42</v>
      </c>
      <c r="E16" s="121" t="s">
        <v>56</v>
      </c>
    </row>
    <row r="17" spans="4:5">
      <c r="D17" s="118" t="s">
        <v>34</v>
      </c>
      <c r="E17" s="121" t="s">
        <v>57</v>
      </c>
    </row>
    <row r="18" spans="4:5">
      <c r="D18" s="118" t="s">
        <v>39</v>
      </c>
      <c r="E18" s="121" t="s">
        <v>58</v>
      </c>
    </row>
    <row r="19" spans="4:5">
      <c r="D19" s="118" t="s">
        <v>37</v>
      </c>
      <c r="E19" s="121">
        <v>45923</v>
      </c>
    </row>
    <row r="20" spans="4:5" ht="15.75" customHeight="1"/>
    <row r="21" spans="4:5" ht="15.75" customHeight="1"/>
    <row r="22" spans="4:5" ht="15.75" customHeight="1"/>
    <row r="23" spans="4:5" ht="15.75" customHeight="1"/>
    <row r="24" spans="4:5" ht="15.75" customHeight="1"/>
    <row r="25" spans="4:5" ht="15.75" customHeight="1"/>
    <row r="26" spans="4:5" ht="15.75" customHeight="1"/>
    <row r="27" spans="4:5" ht="15.75" customHeight="1"/>
    <row r="28" spans="4:5" ht="15.75" customHeight="1"/>
    <row r="29" spans="4:5" ht="15.75" customHeight="1"/>
    <row r="30" spans="4:5" ht="15.75" customHeight="1"/>
    <row r="31" spans="4:5" ht="15.75" customHeight="1"/>
    <row r="32" spans="4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D5:G5"/>
    <mergeCell ref="D10:G1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0"/>
  <sheetViews>
    <sheetView workbookViewId="0">
      <selection activeCell="A3" sqref="A3"/>
    </sheetView>
  </sheetViews>
  <sheetFormatPr defaultColWidth="14.42578125" defaultRowHeight="15" customHeight="1"/>
  <cols>
    <col min="1" max="8" width="9" customWidth="1"/>
    <col min="9" max="9" width="18.140625" customWidth="1"/>
    <col min="10" max="26" width="9" customWidth="1"/>
  </cols>
  <sheetData>
    <row r="1" spans="1:10">
      <c r="A1" s="11" t="s">
        <v>59</v>
      </c>
    </row>
    <row r="2" spans="1:10">
      <c r="A2" s="11" t="s">
        <v>60</v>
      </c>
      <c r="B2" s="11" t="s">
        <v>61</v>
      </c>
      <c r="F2" s="11" t="s">
        <v>62</v>
      </c>
      <c r="I2" s="11" t="s">
        <v>63</v>
      </c>
      <c r="J2" s="11" t="s">
        <v>64</v>
      </c>
    </row>
    <row r="3" spans="1:10">
      <c r="A3" s="11">
        <v>40000</v>
      </c>
      <c r="B3" s="11">
        <v>39000</v>
      </c>
      <c r="F3" s="11">
        <v>0</v>
      </c>
      <c r="I3" s="122">
        <f>Sheet1!B3</f>
        <v>46143</v>
      </c>
    </row>
    <row r="4" spans="1:10">
      <c r="I4" s="123">
        <f>EOMONTH(I3,0)</f>
        <v>46173</v>
      </c>
      <c r="J4" s="11">
        <v>2</v>
      </c>
    </row>
    <row r="6" spans="1:10">
      <c r="A6" s="11">
        <v>33000</v>
      </c>
      <c r="B6" s="11">
        <v>32000</v>
      </c>
    </row>
    <row r="10" spans="1:10">
      <c r="A10" s="11">
        <f>A3*1.5</f>
        <v>60000</v>
      </c>
    </row>
    <row r="11" spans="1:10">
      <c r="A11" s="11">
        <f>A10-A3</f>
        <v>20000</v>
      </c>
    </row>
    <row r="12" spans="1:10">
      <c r="A12" s="124">
        <f>A11/8</f>
        <v>2500</v>
      </c>
      <c r="B12" s="124" t="s">
        <v>65</v>
      </c>
      <c r="C12" s="124"/>
      <c r="D12" s="124"/>
      <c r="E12" s="12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dcterms:created xsi:type="dcterms:W3CDTF">2022-07-05T15:57:00Z</dcterms:created>
  <dcterms:modified xsi:type="dcterms:W3CDTF">2026-06-07T08:29:27Z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1033-12.2.0.23196</vt:lpwstr>
  </property>
</Properties>
</file>