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3" sheetId="2" r:id="rId5"/>
    <sheet state="visible" name="Sheet2" sheetId="3" r:id="rId6"/>
    <sheet state="visible" name="data" sheetId="4" r:id="rId7"/>
  </sheets>
  <definedNames/>
  <calcPr/>
  <extLst>
    <ext uri="GoogleSheetsCustomDataVersion2">
      <go:sheetsCustomData xmlns:go="http://customooxmlschemas.google.com/" r:id="rId8" roundtripDataChecksum="RRSso44l2H80Eenslt6ObqS4wmUaieqpUsAAO6HZusk="/>
    </ext>
  </extLst>
</workbook>
</file>

<file path=xl/sharedStrings.xml><?xml version="1.0" encoding="utf-8"?>
<sst xmlns="http://schemas.openxmlformats.org/spreadsheetml/2006/main" count="216" uniqueCount="84">
  <si>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</si>
  <si>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</si>
  <si>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</si>
  <si>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</si>
  <si>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</si>
  <si>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</si>
  <si>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</si>
  <si>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</si>
  <si>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</si>
  <si>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</si>
  <si>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</si>
  <si>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</si>
  <si>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</si>
  <si>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</si>
  <si>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</si>
  <si>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</si>
  <si>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</si>
  <si>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</si>
  <si>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</si>
  <si>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</si>
  <si>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</si>
  <si>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</si>
  <si>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bo</t>
  </si>
  <si>
    <t>warnet</t>
  </si>
  <si>
    <t>fix total</t>
  </si>
  <si>
    <t>Arif</t>
  </si>
  <si>
    <t>presensi, meeting</t>
  </si>
  <si>
    <t>presensi</t>
  </si>
  <si>
    <t>-</t>
  </si>
  <si>
    <t>Firman</t>
  </si>
  <si>
    <t>percobaan</t>
  </si>
  <si>
    <t>meeting</t>
  </si>
  <si>
    <t>Gilang</t>
  </si>
  <si>
    <t>+</t>
  </si>
  <si>
    <t>Henbediona</t>
  </si>
  <si>
    <t>Iman</t>
  </si>
  <si>
    <t>Kenzi</t>
  </si>
  <si>
    <t>Ridwan</t>
  </si>
  <si>
    <t>Ririn</t>
  </si>
  <si>
    <t>Ronald</t>
  </si>
  <si>
    <t>Yulika</t>
  </si>
  <si>
    <t>faktor penambah gaji</t>
  </si>
  <si>
    <t>note</t>
  </si>
  <si>
    <t>outlet aktif</t>
  </si>
  <si>
    <t>total jam kerja 1bulan normal</t>
  </si>
  <si>
    <t>total jam tutup karena efisiensi</t>
  </si>
  <si>
    <t>Total jam kerja efektif</t>
  </si>
  <si>
    <t>total jam kerja</t>
  </si>
  <si>
    <t>selisih jam kerja (BO/pendampingan)</t>
  </si>
  <si>
    <t>Rekap Lulus PK</t>
  </si>
  <si>
    <t>1x Agus 24</t>
  </si>
  <si>
    <t>1x Okto 24</t>
  </si>
  <si>
    <t>Nama</t>
  </si>
  <si>
    <t>Tahun Masuk</t>
  </si>
  <si>
    <t>2 Mei 2024</t>
  </si>
  <si>
    <t>15 Mei 2024</t>
  </si>
  <si>
    <t>Hafis</t>
  </si>
  <si>
    <t>11 Juli 2024</t>
  </si>
  <si>
    <t>basik jam</t>
  </si>
  <si>
    <t>basik hari</t>
  </si>
  <si>
    <t>Ali</t>
  </si>
  <si>
    <t>pelatihan</t>
  </si>
  <si>
    <t>Ardian</t>
  </si>
  <si>
    <t>ok</t>
  </si>
  <si>
    <t>Ajeng</t>
  </si>
  <si>
    <t>Yudha</t>
  </si>
  <si>
    <t>Anita</t>
  </si>
  <si>
    <t>Reza</t>
  </si>
  <si>
    <t>Rini</t>
  </si>
  <si>
    <t>Rizal</t>
  </si>
  <si>
    <t>Haris</t>
  </si>
  <si>
    <t>1</t>
  </si>
  <si>
    <t>2-3</t>
  </si>
  <si>
    <t>gc</t>
  </si>
  <si>
    <t>peatihan</t>
  </si>
  <si>
    <t>nilai shift 1</t>
  </si>
  <si>
    <t>no</t>
  </si>
  <si>
    <t xml:space="preserve">shift </t>
  </si>
  <si>
    <t>satu</t>
  </si>
  <si>
    <t>dua-tiga</t>
  </si>
  <si>
    <t>devaluasi M2</t>
  </si>
  <si>
    <t>jml hari pada bulan</t>
  </si>
  <si>
    <t>jml outlet</t>
  </si>
  <si>
    <t>tambahan untk jam shift lebaran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</si>
</sst>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mmmm\-yyyy"/>
    <numFmt numFmtId="165" formatCode="_-* #,##0_-;\-* #,##0_-;_-* &quot;-&quot;_-;_-@"/>
    <numFmt numFmtId="166" formatCode="_(* #,##0_);_(* \(#,##0\);_(* &quot;-&quot;??_);_(@_)"/>
    <numFmt numFmtId="167" formatCode="_(* #,##0.00_);_(* \(#,##0.00\);_(* &quot;-&quot;??_);_(@_)"/>
    <numFmt numFmtId="168" formatCode="dd"/>
    <numFmt numFmtId="169" formatCode="#,##0;[Red]\(#,##0\)"/>
    <numFmt numFmtId="170" formatCode="[$-F800]dddd\,\ mmmm\ dd\,\ yyyy"/>
    <numFmt numFmtId="171" formatCode="mmmm\ yyyy"/>
  </numFmts>
  <fonts count="29">
    <font>
      <sz val="11.0"/>
      <color rgb="FF000000"/>
      <name val="Calibri"/>
      <scheme val="minor"/>
    </font>
    <font>
      <sz val="12.0"/>
      <color rgb="FF000000"/>
      <name val="Calibri"/>
    </font>
    <font>
      <b/>
      <sz val="20.0"/>
      <color theme="1"/>
      <name val="Calibri"/>
    </font>
    <font>
      <sz val="12.0"/>
      <color rgb="FF1F3964"/>
      <name val="Verdana"/>
    </font>
    <font>
      <sz val="11.0"/>
      <color theme="1"/>
      <name val="Calibri"/>
    </font>
    <font>
      <sz val="12.0"/>
      <color rgb="FF1F3964"/>
      <name val="Arial"/>
    </font>
    <font/>
    <font>
      <color theme="1"/>
      <name val="Calibri"/>
      <scheme val="minor"/>
    </font>
    <font>
      <sz val="14.0"/>
      <color rgb="FF1F3964"/>
      <name val="Verdana"/>
    </font>
    <font>
      <sz val="14.0"/>
      <color rgb="FF333333"/>
      <name val="Verdana"/>
    </font>
    <font>
      <b/>
      <sz val="14.0"/>
      <color theme="1"/>
      <name val="Verdana"/>
    </font>
    <font>
      <sz val="12.0"/>
      <color theme="1"/>
      <name val="Verdana"/>
    </font>
    <font>
      <sz val="14.0"/>
      <color theme="1"/>
      <name val="Verdana"/>
    </font>
    <font>
      <sz val="12.0"/>
      <color theme="1"/>
      <name val="Calibri"/>
    </font>
    <font>
      <sz val="12.0"/>
      <color theme="1"/>
      <name val="Arial"/>
    </font>
    <font>
      <sz val="14.0"/>
      <color rgb="FF1E4E79"/>
      <name val="Verdana"/>
    </font>
    <font>
      <sz val="11.0"/>
      <color rgb="FF000000"/>
      <name val="Verdana"/>
    </font>
    <font>
      <sz val="11.0"/>
      <color rgb="FFA5A5A5"/>
      <name val="Verdana"/>
    </font>
    <font>
      <sz val="11.0"/>
      <color theme="1"/>
      <name val="Verdana"/>
    </font>
    <font>
      <sz val="10.0"/>
      <color rgb="FF002060"/>
      <name val="Verdana"/>
    </font>
    <font>
      <sz val="12.0"/>
      <color rgb="FF000000"/>
      <name val="Verdana"/>
    </font>
    <font>
      <b/>
      <sz val="12.0"/>
      <color rgb="FF000000"/>
      <name val="Verdana"/>
    </font>
    <font>
      <sz val="12.0"/>
      <color theme="0"/>
      <name val="Verdana"/>
    </font>
    <font>
      <sz val="12.0"/>
      <color rgb="FF435369"/>
      <name val="Verdana"/>
    </font>
    <font>
      <sz val="9.0"/>
      <color rgb="FF000000"/>
      <name val="Verdana"/>
    </font>
    <font>
      <b/>
      <sz val="12.0"/>
      <color rgb="FF435369"/>
      <name val="Verdana"/>
    </font>
    <font>
      <sz val="8.0"/>
      <color rgb="FF1F3964"/>
      <name val="Arial"/>
    </font>
    <font>
      <sz val="8.0"/>
      <color theme="1"/>
      <name val="Calibri"/>
    </font>
    <font>
      <sz val="11.0"/>
      <color rgb="FFFFFF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F5F5F5"/>
        <bgColor rgb="FFF5F5F5"/>
      </patternFill>
    </fill>
    <fill>
      <patternFill patternType="solid">
        <fgColor rgb="FF9CC2E5"/>
        <bgColor rgb="FF9CC2E5"/>
      </patternFill>
    </fill>
    <fill>
      <patternFill patternType="solid">
        <fgColor rgb="FFECECEC"/>
        <bgColor rgb="FFECECEC"/>
      </patternFill>
    </fill>
    <fill>
      <patternFill patternType="solid">
        <fgColor rgb="FFD9E2F3"/>
        <bgColor rgb="FFD9E2F3"/>
      </patternFill>
    </fill>
    <fill>
      <patternFill patternType="solid">
        <fgColor rgb="FFE2EFD9"/>
        <bgColor rgb="FFE2EFD9"/>
      </patternFill>
    </fill>
    <fill>
      <patternFill patternType="solid">
        <fgColor rgb="FFFF0000"/>
        <bgColor rgb="FFFF0000"/>
      </patternFill>
    </fill>
  </fills>
  <borders count="20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top/>
      <bottom/>
    </border>
    <border>
      <top/>
      <bottom/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4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164" xfId="0" applyAlignment="1" applyFont="1" applyNumberFormat="1">
      <alignment horizontal="left" readingOrder="0" vertical="bottom"/>
    </xf>
    <xf borderId="1" fillId="2" fontId="3" numFmtId="0" xfId="0" applyAlignment="1" applyBorder="1" applyFill="1" applyFont="1">
      <alignment horizontal="center" shrinkToFit="0" vertical="center" wrapText="1"/>
    </xf>
    <xf borderId="2" fillId="2" fontId="3" numFmtId="0" xfId="0" applyAlignment="1" applyBorder="1" applyFont="1">
      <alignment horizontal="center" shrinkToFit="0" vertical="center" wrapText="1"/>
    </xf>
    <xf borderId="2" fillId="2" fontId="3" numFmtId="0" xfId="0" applyAlignment="1" applyBorder="1" applyFont="1">
      <alignment horizontal="center" vertical="center"/>
    </xf>
    <xf borderId="3" fillId="2" fontId="3" numFmtId="0" xfId="0" applyAlignment="1" applyBorder="1" applyFont="1">
      <alignment horizontal="center" shrinkToFit="0" vertical="center" wrapText="1"/>
    </xf>
    <xf borderId="4" fillId="3" fontId="4" numFmtId="0" xfId="0" applyAlignment="1" applyBorder="1" applyFill="1" applyFont="1">
      <alignment vertical="center"/>
    </xf>
    <xf borderId="5" fillId="2" fontId="5" numFmtId="0" xfId="0" applyAlignment="1" applyBorder="1" applyFont="1">
      <alignment horizontal="center" shrinkToFit="0" vertical="center" wrapText="1"/>
    </xf>
    <xf borderId="4" fillId="2" fontId="5" numFmtId="0" xfId="0" applyAlignment="1" applyBorder="1" applyFont="1">
      <alignment horizontal="center" shrinkToFit="0" vertical="center" wrapText="1"/>
    </xf>
    <xf borderId="6" fillId="2" fontId="5" numFmtId="0" xfId="0" applyAlignment="1" applyBorder="1" applyFont="1">
      <alignment horizontal="center" shrinkToFit="0" vertical="center" wrapText="1"/>
    </xf>
    <xf borderId="7" fillId="2" fontId="5" numFmtId="0" xfId="0" applyAlignment="1" applyBorder="1" applyFont="1">
      <alignment horizontal="center" shrinkToFit="0" vertical="center" wrapText="1"/>
    </xf>
    <xf borderId="8" fillId="0" fontId="6" numFmtId="0" xfId="0" applyAlignment="1" applyBorder="1" applyFont="1">
      <alignment vertical="center"/>
    </xf>
    <xf borderId="0" fillId="0" fontId="7" numFmtId="0" xfId="0" applyAlignment="1" applyFont="1">
      <alignment vertical="center"/>
    </xf>
    <xf borderId="9" fillId="3" fontId="3" numFmtId="0" xfId="0" applyAlignment="1" applyBorder="1" applyFont="1">
      <alignment horizontal="center" shrinkToFit="0" vertical="center" wrapText="1"/>
    </xf>
    <xf borderId="6" fillId="3" fontId="3" numFmtId="0" xfId="0" applyAlignment="1" applyBorder="1" applyFont="1">
      <alignment horizontal="center" shrinkToFit="0" vertical="center" wrapText="1"/>
    </xf>
    <xf borderId="6" fillId="3" fontId="3" numFmtId="0" xfId="0" applyAlignment="1" applyBorder="1" applyFont="1">
      <alignment horizontal="center" vertical="center"/>
    </xf>
    <xf borderId="6" fillId="3" fontId="3" numFmtId="0" xfId="0" applyAlignment="1" applyBorder="1" applyFont="1">
      <alignment horizontal="center" readingOrder="0" shrinkToFit="0" vertical="center" wrapText="1"/>
    </xf>
    <xf borderId="6" fillId="3" fontId="3" numFmtId="165" xfId="0" applyAlignment="1" applyBorder="1" applyFont="1" applyNumberFormat="1">
      <alignment horizontal="center" vertical="center"/>
    </xf>
    <xf borderId="6" fillId="3" fontId="8" numFmtId="0" xfId="0" applyAlignment="1" applyBorder="1" applyFont="1">
      <alignment horizontal="center" shrinkToFit="0" vertical="center" wrapText="1"/>
    </xf>
    <xf borderId="6" fillId="3" fontId="8" numFmtId="0" xfId="0" applyAlignment="1" applyBorder="1" applyFont="1">
      <alignment horizontal="right" readingOrder="0" shrinkToFit="0" vertical="center" wrapText="1"/>
    </xf>
    <xf borderId="6" fillId="0" fontId="9" numFmtId="0" xfId="0" applyAlignment="1" applyBorder="1" applyFont="1">
      <alignment horizontal="right" readingOrder="0" vertical="center"/>
    </xf>
    <xf borderId="6" fillId="3" fontId="8" numFmtId="0" xfId="0" applyAlignment="1" applyBorder="1" applyFont="1">
      <alignment horizontal="right" shrinkToFit="0" vertical="center" wrapText="1"/>
    </xf>
    <xf borderId="6" fillId="3" fontId="10" numFmtId="165" xfId="0" applyAlignment="1" applyBorder="1" applyFont="1" applyNumberFormat="1">
      <alignment horizontal="right" shrinkToFit="0" vertical="center" wrapText="1"/>
    </xf>
    <xf borderId="6" fillId="3" fontId="3" numFmtId="165" xfId="0" applyAlignment="1" applyBorder="1" applyFont="1" applyNumberFormat="1">
      <alignment horizontal="right" shrinkToFit="0" vertical="center" wrapText="1"/>
    </xf>
    <xf borderId="6" fillId="3" fontId="11" numFmtId="165" xfId="0" applyAlignment="1" applyBorder="1" applyFont="1" applyNumberFormat="1">
      <alignment horizontal="right" shrinkToFit="0" vertical="center" wrapText="1"/>
    </xf>
    <xf borderId="6" fillId="3" fontId="3" numFmtId="37" xfId="0" applyAlignment="1" applyBorder="1" applyFont="1" applyNumberFormat="1">
      <alignment horizontal="right" shrinkToFit="0" vertical="center" wrapText="1"/>
    </xf>
    <xf borderId="6" fillId="3" fontId="3" numFmtId="166" xfId="0" applyAlignment="1" applyBorder="1" applyFont="1" applyNumberFormat="1">
      <alignment horizontal="right" shrinkToFit="0" vertical="center" wrapText="1"/>
    </xf>
    <xf borderId="10" fillId="3" fontId="3" numFmtId="165" xfId="0" applyAlignment="1" applyBorder="1" applyFont="1" applyNumberFormat="1">
      <alignment horizontal="right" shrinkToFit="0" vertical="center" wrapText="1"/>
    </xf>
    <xf borderId="4" fillId="4" fontId="4" numFmtId="0" xfId="0" applyAlignment="1" applyBorder="1" applyFill="1" applyFont="1">
      <alignment vertical="center"/>
    </xf>
    <xf borderId="6" fillId="3" fontId="5" numFmtId="0" xfId="0" applyAlignment="1" applyBorder="1" applyFont="1">
      <alignment horizontal="right" shrinkToFit="0" vertical="center" wrapText="1"/>
    </xf>
    <xf borderId="0" fillId="0" fontId="4" numFmtId="166" xfId="0" applyAlignment="1" applyFont="1" applyNumberFormat="1">
      <alignment vertical="center"/>
    </xf>
    <xf borderId="0" fillId="0" fontId="5" numFmtId="0" xfId="0" applyAlignment="1" applyFont="1">
      <alignment horizontal="left" vertical="bottom"/>
    </xf>
    <xf borderId="6" fillId="4" fontId="5" numFmtId="165" xfId="0" applyAlignment="1" applyBorder="1" applyFont="1" applyNumberFormat="1">
      <alignment horizontal="center" vertical="center"/>
    </xf>
    <xf borderId="6" fillId="5" fontId="12" numFmtId="0" xfId="0" applyAlignment="1" applyBorder="1" applyFill="1" applyFont="1">
      <alignment horizontal="right" vertical="center"/>
    </xf>
    <xf borderId="6" fillId="3" fontId="8" numFmtId="0" xfId="0" applyAlignment="1" applyBorder="1" applyFont="1">
      <alignment horizontal="right" readingOrder="0" vertical="center"/>
    </xf>
    <xf borderId="6" fillId="3" fontId="3" numFmtId="166" xfId="0" applyAlignment="1" applyBorder="1" applyFont="1" applyNumberFormat="1">
      <alignment horizontal="right" readingOrder="0" shrinkToFit="0" vertical="center" wrapText="1"/>
    </xf>
    <xf borderId="6" fillId="3" fontId="8" numFmtId="0" xfId="0" applyAlignment="1" applyBorder="1" applyFont="1">
      <alignment horizontal="right" vertical="center"/>
    </xf>
    <xf borderId="6" fillId="3" fontId="3" numFmtId="165" xfId="0" applyAlignment="1" applyBorder="1" applyFont="1" applyNumberFormat="1">
      <alignment horizontal="right" readingOrder="0" shrinkToFit="0" vertical="center" wrapText="1"/>
    </xf>
    <xf borderId="6" fillId="3" fontId="5" numFmtId="0" xfId="0" applyAlignment="1" applyBorder="1" applyFont="1">
      <alignment horizontal="right" vertical="center"/>
    </xf>
    <xf borderId="4" fillId="3" fontId="1" numFmtId="0" xfId="0" applyAlignment="1" applyBorder="1" applyFont="1">
      <alignment vertical="bottom"/>
    </xf>
    <xf borderId="6" fillId="3" fontId="8" numFmtId="0" xfId="0" applyAlignment="1" applyBorder="1" applyFont="1">
      <alignment horizontal="center" vertical="center"/>
    </xf>
    <xf borderId="4" fillId="3" fontId="4" numFmtId="166" xfId="0" applyAlignment="1" applyBorder="1" applyFont="1" applyNumberFormat="1">
      <alignment vertical="center"/>
    </xf>
    <xf borderId="4" fillId="3" fontId="5" numFmtId="0" xfId="0" applyAlignment="1" applyBorder="1" applyFont="1">
      <alignment horizontal="left" vertical="bottom"/>
    </xf>
    <xf borderId="0" fillId="3" fontId="1" numFmtId="0" xfId="0" applyAlignment="1" applyFont="1">
      <alignment vertical="bottom"/>
    </xf>
    <xf borderId="6" fillId="3" fontId="3" numFmtId="0" xfId="0" applyAlignment="1" applyBorder="1" applyFont="1">
      <alignment horizontal="center" readingOrder="0" vertical="center"/>
    </xf>
    <xf borderId="6" fillId="0" fontId="9" numFmtId="0" xfId="0" applyAlignment="1" applyBorder="1" applyFont="1">
      <alignment horizontal="right" vertical="center"/>
    </xf>
    <xf borderId="0" fillId="3" fontId="4" numFmtId="0" xfId="0" applyAlignment="1" applyFont="1">
      <alignment vertical="center"/>
    </xf>
    <xf borderId="0" fillId="3" fontId="4" numFmtId="166" xfId="0" applyAlignment="1" applyFont="1" applyNumberFormat="1">
      <alignment vertical="center"/>
    </xf>
    <xf borderId="0" fillId="3" fontId="5" numFmtId="0" xfId="0" applyAlignment="1" applyFont="1">
      <alignment horizontal="left" vertical="bottom"/>
    </xf>
    <xf borderId="6" fillId="5" fontId="12" numFmtId="0" xfId="0" applyAlignment="1" applyBorder="1" applyFont="1">
      <alignment horizontal="right" readingOrder="0" vertical="center"/>
    </xf>
    <xf borderId="0" fillId="0" fontId="13" numFmtId="0" xfId="0" applyAlignment="1" applyFont="1">
      <alignment vertical="bottom"/>
    </xf>
    <xf borderId="6" fillId="3" fontId="14" numFmtId="0" xfId="0" applyAlignment="1" applyBorder="1" applyFont="1">
      <alignment horizontal="right" vertical="center"/>
    </xf>
    <xf borderId="0" fillId="0" fontId="14" numFmtId="0" xfId="0" applyAlignment="1" applyFont="1">
      <alignment horizontal="left" vertical="bottom"/>
    </xf>
    <xf borderId="6" fillId="5" fontId="12" numFmtId="0" xfId="0" applyAlignment="1" applyBorder="1" applyFont="1">
      <alignment horizontal="right" readingOrder="0" shrinkToFit="0" vertical="center" wrapText="1"/>
    </xf>
    <xf borderId="6" fillId="3" fontId="12" numFmtId="0" xfId="0" applyAlignment="1" applyBorder="1" applyFont="1">
      <alignment horizontal="right" readingOrder="0" vertical="center"/>
    </xf>
    <xf borderId="6" fillId="0" fontId="5" numFmtId="0" xfId="0" applyAlignment="1" applyBorder="1" applyFont="1">
      <alignment horizontal="right" vertical="center"/>
    </xf>
    <xf borderId="9" fillId="0" fontId="3" numFmtId="0" xfId="0" applyAlignment="1" applyBorder="1" applyFont="1">
      <alignment horizontal="center" shrinkToFit="0" vertical="center" wrapText="1"/>
    </xf>
    <xf borderId="6" fillId="0" fontId="3" numFmtId="0" xfId="0" applyAlignment="1" applyBorder="1" applyFont="1">
      <alignment horizontal="left" shrinkToFit="0" vertical="center" wrapText="1"/>
    </xf>
    <xf borderId="6" fillId="0" fontId="3" numFmtId="0" xfId="0" applyAlignment="1" applyBorder="1" applyFont="1">
      <alignment horizontal="left" vertical="center"/>
    </xf>
    <xf borderId="6" fillId="0" fontId="3" numFmtId="0" xfId="0" applyAlignment="1" applyBorder="1" applyFont="1">
      <alignment horizontal="center" shrinkToFit="0" vertical="center" wrapText="1"/>
    </xf>
    <xf borderId="6" fillId="0" fontId="11" numFmtId="0" xfId="0" applyAlignment="1" applyBorder="1" applyFont="1">
      <alignment vertical="center"/>
    </xf>
    <xf borderId="6" fillId="0" fontId="3" numFmtId="0" xfId="0" applyAlignment="1" applyBorder="1" applyFont="1">
      <alignment horizontal="center" vertical="center"/>
    </xf>
    <xf borderId="6" fillId="0" fontId="12" numFmtId="0" xfId="0" applyAlignment="1" applyBorder="1" applyFont="1">
      <alignment horizontal="right" vertical="center"/>
    </xf>
    <xf borderId="6" fillId="0" fontId="8" numFmtId="0" xfId="0" applyAlignment="1" applyBorder="1" applyFont="1">
      <alignment horizontal="right" vertical="center"/>
    </xf>
    <xf borderId="6" fillId="0" fontId="15" numFmtId="0" xfId="0" applyAlignment="1" applyBorder="1" applyFont="1">
      <alignment horizontal="right" vertical="center"/>
    </xf>
    <xf borderId="6" fillId="0" fontId="3" numFmtId="165" xfId="0" applyAlignment="1" applyBorder="1" applyFont="1" applyNumberFormat="1">
      <alignment horizontal="right" shrinkToFit="0" vertical="center" wrapText="1"/>
    </xf>
    <xf borderId="6" fillId="0" fontId="3" numFmtId="37" xfId="0" applyAlignment="1" applyBorder="1" applyFont="1" applyNumberFormat="1">
      <alignment horizontal="right" shrinkToFit="0" vertical="center" wrapText="1"/>
    </xf>
    <xf borderId="6" fillId="6" fontId="3" numFmtId="165" xfId="0" applyAlignment="1" applyBorder="1" applyFill="1" applyFont="1" applyNumberFormat="1">
      <alignment horizontal="right" shrinkToFit="0" vertical="center" wrapText="1"/>
    </xf>
    <xf quotePrefix="1" borderId="6" fillId="0" fontId="3" numFmtId="0" xfId="0" applyAlignment="1" applyBorder="1" applyFont="1">
      <alignment horizontal="center" vertical="center"/>
    </xf>
    <xf borderId="11" fillId="2" fontId="3" numFmtId="0" xfId="0" applyAlignment="1" applyBorder="1" applyFont="1">
      <alignment horizontal="center" shrinkToFit="0" vertical="center" wrapText="1"/>
    </xf>
    <xf borderId="12" fillId="2" fontId="3" numFmtId="0" xfId="0" applyAlignment="1" applyBorder="1" applyFont="1">
      <alignment horizontal="left" vertical="center"/>
    </xf>
    <xf borderId="12" fillId="2" fontId="3" numFmtId="0" xfId="0" applyAlignment="1" applyBorder="1" applyFont="1">
      <alignment horizontal="center" shrinkToFit="0" vertical="center" wrapText="1"/>
    </xf>
    <xf borderId="12" fillId="2" fontId="3" numFmtId="0" xfId="0" applyAlignment="1" applyBorder="1" applyFont="1">
      <alignment horizontal="center" vertical="center"/>
    </xf>
    <xf borderId="12" fillId="2" fontId="8" numFmtId="0" xfId="0" applyAlignment="1" applyBorder="1" applyFont="1">
      <alignment horizontal="right" vertical="center"/>
    </xf>
    <xf borderId="12" fillId="2" fontId="8" numFmtId="3" xfId="0" applyAlignment="1" applyBorder="1" applyFont="1" applyNumberFormat="1">
      <alignment horizontal="right" vertical="center"/>
    </xf>
    <xf borderId="12" fillId="2" fontId="10" numFmtId="165" xfId="0" applyAlignment="1" applyBorder="1" applyFont="1" applyNumberFormat="1">
      <alignment horizontal="right" shrinkToFit="0" vertical="center" wrapText="1"/>
    </xf>
    <xf borderId="12" fillId="2" fontId="3" numFmtId="165" xfId="0" applyAlignment="1" applyBorder="1" applyFont="1" applyNumberFormat="1">
      <alignment horizontal="right" vertical="center"/>
    </xf>
    <xf borderId="12" fillId="2" fontId="3" numFmtId="37" xfId="0" applyAlignment="1" applyBorder="1" applyFont="1" applyNumberFormat="1">
      <alignment horizontal="right" vertical="center"/>
    </xf>
    <xf borderId="13" fillId="2" fontId="3" numFmtId="165" xfId="0" applyAlignment="1" applyBorder="1" applyFont="1" applyNumberFormat="1">
      <alignment horizontal="right" shrinkToFit="0" vertical="center" wrapText="1"/>
    </xf>
    <xf borderId="4" fillId="2" fontId="4" numFmtId="166" xfId="0" applyAlignment="1" applyBorder="1" applyFont="1" applyNumberForma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16" numFmtId="0" xfId="0" applyAlignment="1" applyFont="1">
      <alignment vertical="bottom"/>
    </xf>
    <xf borderId="0" fillId="0" fontId="17" numFmtId="3" xfId="0" applyAlignment="1" applyFont="1" applyNumberFormat="1">
      <alignment horizontal="center" vertical="center"/>
    </xf>
    <xf borderId="0" fillId="0" fontId="18" numFmtId="0" xfId="0" applyAlignment="1" applyFont="1">
      <alignment vertical="center"/>
    </xf>
    <xf borderId="0" fillId="0" fontId="19" numFmtId="22" xfId="0" applyAlignment="1" applyFont="1" applyNumberFormat="1">
      <alignment horizontal="center" vertical="center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center" vertical="bottom"/>
    </xf>
    <xf borderId="0" fillId="0" fontId="3" numFmtId="0" xfId="0" applyAlignment="1" applyFont="1">
      <alignment horizontal="left" vertical="bottom"/>
    </xf>
    <xf borderId="0" fillId="0" fontId="3" numFmtId="0" xfId="0" applyAlignment="1" applyFont="1">
      <alignment horizontal="center" vertical="center"/>
    </xf>
    <xf borderId="0" fillId="0" fontId="11" numFmtId="3" xfId="0" applyAlignment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3" numFmtId="3" xfId="0" applyAlignment="1" applyFont="1" applyNumberFormat="1">
      <alignment horizontal="center" vertical="center"/>
    </xf>
    <xf borderId="0" fillId="0" fontId="20" numFmtId="0" xfId="0" applyAlignment="1" applyFont="1">
      <alignment horizontal="center" vertical="bottom"/>
    </xf>
    <xf borderId="4" fillId="7" fontId="3" numFmtId="0" xfId="0" applyAlignment="1" applyBorder="1" applyFill="1" applyFont="1">
      <alignment horizontal="center" vertical="center"/>
    </xf>
    <xf borderId="14" fillId="7" fontId="3" numFmtId="165" xfId="0" applyAlignment="1" applyBorder="1" applyFont="1" applyNumberFormat="1">
      <alignment horizontal="right" vertical="center"/>
    </xf>
    <xf borderId="0" fillId="0" fontId="21" numFmtId="0" xfId="0" applyAlignment="1" applyFont="1">
      <alignment vertical="bottom"/>
    </xf>
    <xf borderId="0" fillId="0" fontId="20" numFmtId="0" xfId="0" applyAlignment="1" applyFont="1">
      <alignment horizontal="center" vertical="center"/>
    </xf>
    <xf borderId="0" fillId="0" fontId="20" numFmtId="0" xfId="0" applyAlignment="1" applyFont="1">
      <alignment horizontal="right" vertical="bottom"/>
    </xf>
    <xf borderId="0" fillId="0" fontId="20" numFmtId="0" xfId="0" applyAlignment="1" applyFont="1">
      <alignment vertical="bottom"/>
    </xf>
    <xf borderId="14" fillId="8" fontId="11" numFmtId="0" xfId="0" applyAlignment="1" applyBorder="1" applyFill="1" applyFont="1">
      <alignment horizontal="right" vertical="center"/>
    </xf>
    <xf borderId="15" fillId="0" fontId="6" numFmtId="0" xfId="0" applyAlignment="1" applyBorder="1" applyFont="1">
      <alignment vertical="center"/>
    </xf>
    <xf borderId="0" fillId="0" fontId="3" numFmtId="0" xfId="0" applyAlignment="1" applyFont="1">
      <alignment horizontal="right" vertical="center"/>
    </xf>
    <xf borderId="0" fillId="0" fontId="3" numFmtId="0" xfId="0" applyAlignment="1" applyFont="1">
      <alignment horizontal="left" shrinkToFit="0" vertical="top" wrapText="1"/>
    </xf>
    <xf borderId="0" fillId="0" fontId="22" numFmtId="166" xfId="0" applyAlignment="1" applyFont="1" applyNumberFormat="1">
      <alignment horizontal="left" vertical="bottom"/>
    </xf>
    <xf borderId="0" fillId="0" fontId="22" numFmtId="167" xfId="0" applyAlignment="1" applyFont="1" applyNumberFormat="1">
      <alignment horizontal="left" vertical="bottom"/>
    </xf>
    <xf borderId="0" fillId="0" fontId="23" numFmtId="165" xfId="0" applyAlignment="1" applyFont="1" applyNumberFormat="1">
      <alignment horizontal="right" vertical="center"/>
    </xf>
    <xf borderId="0" fillId="0" fontId="23" numFmtId="0" xfId="0" applyAlignment="1" applyFont="1">
      <alignment vertical="bottom"/>
    </xf>
    <xf borderId="0" fillId="0" fontId="20" numFmtId="168" xfId="0" applyAlignment="1" applyFont="1" applyNumberFormat="1">
      <alignment vertical="bottom"/>
    </xf>
    <xf borderId="0" fillId="0" fontId="24" numFmtId="166" xfId="0" applyAlignment="1" applyFont="1" applyNumberFormat="1">
      <alignment vertical="bottom"/>
    </xf>
    <xf borderId="16" fillId="0" fontId="3" numFmtId="165" xfId="0" applyAlignment="1" applyBorder="1" applyFont="1" applyNumberFormat="1">
      <alignment horizontal="right" vertical="center"/>
    </xf>
    <xf borderId="0" fillId="0" fontId="23" numFmtId="0" xfId="0" applyAlignment="1" applyFont="1">
      <alignment horizontal="center" vertical="bottom"/>
    </xf>
    <xf borderId="14" fillId="9" fontId="11" numFmtId="0" xfId="0" applyAlignment="1" applyBorder="1" applyFill="1" applyFont="1">
      <alignment horizontal="right" vertical="center"/>
    </xf>
    <xf borderId="0" fillId="0" fontId="25" numFmtId="165" xfId="0" applyAlignment="1" applyFont="1" applyNumberFormat="1">
      <alignment horizontal="right" vertical="center"/>
    </xf>
    <xf borderId="0" fillId="0" fontId="23" numFmtId="169" xfId="0" applyAlignment="1" applyFont="1" applyNumberFormat="1">
      <alignment horizontal="right" vertical="center"/>
    </xf>
    <xf borderId="0" fillId="0" fontId="4" numFmtId="165" xfId="0" applyAlignment="1" applyFont="1" applyNumberFormat="1">
      <alignment vertical="center"/>
    </xf>
    <xf borderId="17" fillId="0" fontId="4" numFmtId="0" xfId="0" applyAlignment="1" applyBorder="1" applyFont="1">
      <alignment horizontal="center" vertical="center"/>
    </xf>
    <xf borderId="18" fillId="0" fontId="6" numFmtId="0" xfId="0" applyAlignment="1" applyBorder="1" applyFont="1">
      <alignment vertical="center"/>
    </xf>
    <xf borderId="19" fillId="0" fontId="6" numFmtId="0" xfId="0" applyAlignment="1" applyBorder="1" applyFont="1">
      <alignment vertical="center"/>
    </xf>
    <xf borderId="6" fillId="0" fontId="4" numFmtId="0" xfId="0" applyAlignment="1" applyBorder="1" applyFont="1">
      <alignment horizontal="center" vertical="center"/>
    </xf>
    <xf borderId="0" fillId="0" fontId="4" numFmtId="170" xfId="0" applyAlignment="1" applyFont="1" applyNumberFormat="1">
      <alignment vertical="center"/>
    </xf>
    <xf borderId="0" fillId="0" fontId="4" numFmtId="0" xfId="0" applyAlignment="1" applyFont="1">
      <alignment horizontal="center" vertical="center"/>
    </xf>
    <xf borderId="6" fillId="0" fontId="4" numFmtId="14" xfId="0" applyAlignment="1" applyBorder="1" applyFont="1" applyNumberFormat="1">
      <alignment horizontal="center" vertical="center"/>
    </xf>
    <xf borderId="6" fillId="2" fontId="26" numFmtId="165" xfId="0" applyAlignment="1" applyBorder="1" applyFont="1" applyNumberFormat="1">
      <alignment horizontal="center" shrinkToFit="0" vertical="center" wrapText="1"/>
    </xf>
    <xf borderId="6" fillId="2" fontId="26" numFmtId="165" xfId="0" applyAlignment="1" applyBorder="1" applyFont="1" applyNumberFormat="1">
      <alignment horizontal="center" vertical="center"/>
    </xf>
    <xf borderId="6" fillId="0" fontId="26" numFmtId="165" xfId="0" applyAlignment="1" applyBorder="1" applyFont="1" applyNumberFormat="1">
      <alignment horizontal="center" shrinkToFit="0" vertical="center" wrapText="1"/>
    </xf>
    <xf borderId="6" fillId="0" fontId="26" numFmtId="165" xfId="0" applyAlignment="1" applyBorder="1" applyFont="1" applyNumberFormat="1">
      <alignment horizontal="left" vertical="center"/>
    </xf>
    <xf borderId="6" fillId="0" fontId="26" numFmtId="165" xfId="0" applyAlignment="1" applyBorder="1" applyFont="1" applyNumberFormat="1">
      <alignment horizontal="left" shrinkToFit="0" vertical="center" wrapText="1"/>
    </xf>
    <xf borderId="6" fillId="0" fontId="26" numFmtId="165" xfId="0" applyAlignment="1" applyBorder="1" applyFont="1" applyNumberFormat="1">
      <alignment horizontal="center" vertical="center"/>
    </xf>
    <xf borderId="6" fillId="0" fontId="26" numFmtId="165" xfId="0" applyAlignment="1" applyBorder="1" applyFont="1" applyNumberFormat="1">
      <alignment horizontal="right" shrinkToFit="0" vertical="center" wrapText="1"/>
    </xf>
    <xf borderId="6" fillId="7" fontId="26" numFmtId="165" xfId="0" applyAlignment="1" applyBorder="1" applyFont="1" applyNumberFormat="1">
      <alignment horizontal="center" shrinkToFit="0" vertical="center" wrapText="1"/>
    </xf>
    <xf borderId="6" fillId="7" fontId="26" numFmtId="165" xfId="0" applyAlignment="1" applyBorder="1" applyFont="1" applyNumberFormat="1">
      <alignment horizontal="left" shrinkToFit="0" vertical="center" wrapText="1"/>
    </xf>
    <xf borderId="6" fillId="7" fontId="26" numFmtId="165" xfId="0" applyAlignment="1" applyBorder="1" applyFont="1" applyNumberFormat="1">
      <alignment horizontal="left" vertical="center"/>
    </xf>
    <xf borderId="6" fillId="7" fontId="26" numFmtId="165" xfId="0" applyAlignment="1" applyBorder="1" applyFont="1" applyNumberFormat="1">
      <alignment horizontal="center" vertical="center"/>
    </xf>
    <xf borderId="6" fillId="7" fontId="26" numFmtId="165" xfId="0" applyAlignment="1" applyBorder="1" applyFont="1" applyNumberFormat="1">
      <alignment horizontal="right" shrinkToFit="0" vertical="center" wrapText="1"/>
    </xf>
    <xf borderId="6" fillId="7" fontId="26" numFmtId="165" xfId="0" applyAlignment="1" applyBorder="1" applyFont="1" applyNumberFormat="1">
      <alignment horizontal="right" vertical="center"/>
    </xf>
    <xf quotePrefix="1" borderId="6" fillId="0" fontId="26" numFmtId="165" xfId="0" applyAlignment="1" applyBorder="1" applyFont="1" applyNumberFormat="1">
      <alignment horizontal="center" vertical="center"/>
    </xf>
    <xf borderId="6" fillId="0" fontId="26" numFmtId="165" xfId="0" applyAlignment="1" applyBorder="1" applyFont="1" applyNumberFormat="1">
      <alignment horizontal="right" vertical="center"/>
    </xf>
    <xf borderId="6" fillId="4" fontId="26" numFmtId="165" xfId="0" applyAlignment="1" applyBorder="1" applyFont="1" applyNumberFormat="1">
      <alignment horizontal="center" shrinkToFit="0" vertical="center" wrapText="1"/>
    </xf>
    <xf borderId="6" fillId="4" fontId="26" numFmtId="165" xfId="0" applyAlignment="1" applyBorder="1" applyFont="1" applyNumberFormat="1">
      <alignment horizontal="left" vertical="center"/>
    </xf>
    <xf borderId="6" fillId="4" fontId="26" numFmtId="165" xfId="0" applyAlignment="1" applyBorder="1" applyFont="1" applyNumberFormat="1">
      <alignment horizontal="center" vertical="center"/>
    </xf>
    <xf borderId="6" fillId="4" fontId="26" numFmtId="165" xfId="0" applyAlignment="1" applyBorder="1" applyFont="1" applyNumberFormat="1">
      <alignment horizontal="right" vertical="center"/>
    </xf>
    <xf borderId="6" fillId="4" fontId="26" numFmtId="165" xfId="0" applyAlignment="1" applyBorder="1" applyFont="1" applyNumberFormat="1">
      <alignment horizontal="right" shrinkToFit="0" vertical="center" wrapText="1"/>
    </xf>
    <xf borderId="6" fillId="4" fontId="26" numFmtId="165" xfId="0" applyAlignment="1" applyBorder="1" applyFont="1" applyNumberFormat="1">
      <alignment horizontal="left" shrinkToFit="0" vertical="center" wrapText="1"/>
    </xf>
    <xf borderId="6" fillId="0" fontId="27" numFmtId="165" xfId="0" applyAlignment="1" applyBorder="1" applyFont="1" applyNumberFormat="1">
      <alignment vertical="center"/>
    </xf>
    <xf borderId="6" fillId="2" fontId="26" numFmtId="165" xfId="0" applyAlignment="1" applyBorder="1" applyFont="1" applyNumberFormat="1">
      <alignment horizontal="left" vertical="center"/>
    </xf>
    <xf borderId="6" fillId="2" fontId="26" numFmtId="165" xfId="0" applyAlignment="1" applyBorder="1" applyFont="1" applyNumberFormat="1">
      <alignment horizontal="right" vertical="center"/>
    </xf>
    <xf quotePrefix="1" borderId="0" fillId="0" fontId="4" numFmtId="165" xfId="0" applyAlignment="1" applyFont="1" applyNumberFormat="1">
      <alignment vertical="center"/>
    </xf>
    <xf borderId="6" fillId="0" fontId="4" numFmtId="165" xfId="0" applyAlignment="1" applyBorder="1" applyFont="1" applyNumberFormat="1">
      <alignment vertical="center"/>
    </xf>
    <xf borderId="6" fillId="2" fontId="4" numFmtId="165" xfId="0" applyAlignment="1" applyBorder="1" applyFont="1" applyNumberFormat="1">
      <alignment vertical="center"/>
    </xf>
    <xf borderId="0" fillId="0" fontId="4" numFmtId="171" xfId="0" applyAlignment="1" applyFont="1" applyNumberFormat="1">
      <alignment vertical="center"/>
    </xf>
    <xf borderId="0" fillId="0" fontId="4" numFmtId="168" xfId="0" applyAlignment="1" applyFont="1" applyNumberFormat="1">
      <alignment horizontal="center" vertical="center"/>
    </xf>
    <xf borderId="4" fillId="10" fontId="28" numFmtId="0" xfId="0" applyAlignment="1" applyBorder="1" applyFill="1" applyFont="1">
      <alignment vertical="center"/>
    </xf>
  </cellXfs>
  <cellStyles count="1">
    <cellStyle xfId="0" name="Normal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0.0"/>
    <col customWidth="1" min="2" max="2" width="4.71"/>
    <col customWidth="1" min="3" max="3" width="19.43"/>
    <col customWidth="1" min="4" max="4" width="16.29"/>
    <col customWidth="1" min="5" max="5" width="22.29"/>
    <col customWidth="1" min="6" max="6" width="12.14"/>
    <col customWidth="1" min="7" max="7" width="11.71"/>
    <col customWidth="1" min="8" max="8" width="14.0"/>
    <col customWidth="1" min="9" max="9" width="11.14"/>
    <col customWidth="1" min="10" max="10" width="16.57"/>
    <col customWidth="1" min="11" max="11" width="12.14"/>
    <col customWidth="1" min="12" max="14" width="10.0"/>
    <col customWidth="1" min="15" max="15" width="9.86"/>
    <col customWidth="1" min="16" max="16" width="13.71"/>
    <col customWidth="1" min="17" max="17" width="18.57"/>
    <col customWidth="1" min="18" max="18" width="16.14"/>
    <col customWidth="1" min="19" max="19" width="14.43"/>
    <col customWidth="1" min="20" max="20" width="17.14"/>
    <col customWidth="1" min="21" max="21" width="16.86"/>
    <col customWidth="1" min="22" max="22" width="19.14"/>
    <col customWidth="1" min="23" max="23" width="17.57"/>
    <col customWidth="1" min="24" max="24" width="19.14"/>
    <col customWidth="1" min="25" max="25" width="22.0"/>
    <col customWidth="1" min="26" max="26" width="4.86"/>
    <col customWidth="1" min="27" max="27" width="3.71"/>
    <col customWidth="1" min="28" max="28" width="5.57"/>
    <col customWidth="1" min="29" max="29" width="3.29"/>
    <col customWidth="1" min="30" max="32" width="10.0"/>
    <col customWidth="1" min="33" max="33" width="10.14"/>
    <col customWidth="1" min="34" max="36" width="10.0"/>
    <col customWidth="1" min="37" max="37" width="15.86"/>
    <col customWidth="1" min="38" max="38" width="13.0"/>
    <col customWidth="1" min="39" max="39" width="10.0"/>
    <col customWidth="1" min="40" max="40" width="10.86"/>
    <col customWidth="1" min="41" max="41" width="10.0"/>
    <col customWidth="1" min="42" max="42" width="14.29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>
      <c r="A3" s="1"/>
      <c r="B3" s="3">
        <v>46113.0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>
      <c r="A4" s="1"/>
      <c r="B4" s="4" t="s">
        <v>1</v>
      </c>
      <c r="C4" s="5" t="s">
        <v>2</v>
      </c>
      <c r="D4" s="6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4</v>
      </c>
      <c r="S4" s="5" t="s">
        <v>5</v>
      </c>
      <c r="T4" s="5" t="s">
        <v>6</v>
      </c>
      <c r="U4" s="5" t="s">
        <v>17</v>
      </c>
      <c r="V4" s="5" t="s">
        <v>18</v>
      </c>
      <c r="W4" s="5" t="s">
        <v>19</v>
      </c>
      <c r="X4" s="5" t="s">
        <v>20</v>
      </c>
      <c r="Y4" s="7" t="s">
        <v>21</v>
      </c>
      <c r="Z4" s="8"/>
      <c r="AA4" s="8"/>
      <c r="AB4" s="8"/>
      <c r="AC4" s="8"/>
      <c r="AD4" s="9" t="s">
        <v>21</v>
      </c>
      <c r="AE4" s="10" t="s">
        <v>22</v>
      </c>
      <c r="AF4" s="10" t="s">
        <v>23</v>
      </c>
      <c r="AG4" s="11" t="s">
        <v>21</v>
      </c>
      <c r="AH4" s="12" t="s">
        <v>22</v>
      </c>
      <c r="AI4" s="13"/>
      <c r="AK4" s="14" t="s">
        <v>24</v>
      </c>
    </row>
    <row r="5" ht="24.75" customHeight="1">
      <c r="A5" s="1"/>
      <c r="B5" s="15">
        <v>1.0</v>
      </c>
      <c r="C5" s="16" t="s">
        <v>25</v>
      </c>
      <c r="D5" s="17" t="s">
        <v>3</v>
      </c>
      <c r="E5" s="18" t="s">
        <v>26</v>
      </c>
      <c r="F5" s="18" t="s">
        <v>27</v>
      </c>
      <c r="G5" s="16">
        <v>1.0</v>
      </c>
      <c r="H5" s="16"/>
      <c r="I5" s="19" t="s">
        <v>28</v>
      </c>
      <c r="J5" s="16"/>
      <c r="K5" s="20"/>
      <c r="L5" s="21">
        <v>41.0</v>
      </c>
      <c r="M5" s="21">
        <v>58.0</v>
      </c>
      <c r="N5" s="22">
        <v>53.0</v>
      </c>
      <c r="O5" s="23"/>
      <c r="P5" s="24">
        <f t="shared" ref="P5:P17" si="1">SUM(L5:O5)</f>
        <v>152</v>
      </c>
      <c r="Q5" s="25">
        <f>((data!$A$3/8)*L5)+((data!$B$3/8)*(M5+N5+O5))+(P5*$E$23)</f>
        <v>746125</v>
      </c>
      <c r="R5" s="25" t="str">
        <f t="shared" ref="R5:R7" si="2">IF(E5&lt;&gt;"","-",
IF(LOWER(D5)="percobaan",0,
IF(AND(G5&gt;0,LOWER(H5)="ok"),100000,
IF(G5&gt;0,50000,
100000))))</f>
        <v>-</v>
      </c>
      <c r="S5" s="25" t="str">
        <f t="shared" ref="S5:S14" si="3">IF(F5&lt;&gt;"","-",(P5/8)*1000)</f>
        <v>-</v>
      </c>
      <c r="T5" s="26" t="str">
        <f t="shared" ref="T5:T14" si="4">IF(
OR(
LOWER(D5)="percobaan",
E5&lt;&gt;"",
F5&lt;&gt;""
),
"-",
50000
)</f>
        <v>-</v>
      </c>
      <c r="U5" s="25">
        <f t="shared" ref="U5:U14" si="5">IF(
OR(LOWER(D5)="percobaan",D5=""),
0,
IF(
I5&lt;&gt;"" ,
IF(
I5="+",
(P5/8)*3000,
0
),
IF(
DAY(EOMONTH($B$2,0))=30,
IF((P5/8)&gt;=25,(P5/8)*3000,0),
IF(
DAY(EOMONTH($B$2,0))=31,
IF((P5/8)&gt;=26,(P5/8)*3000,0),
0
)
)
)
)</f>
        <v>0</v>
      </c>
      <c r="V5" s="27">
        <f t="shared" ref="V5:V16" si="6">J5*-12500</f>
        <v>0</v>
      </c>
      <c r="W5" s="25">
        <f t="shared" ref="W5:W9" si="7">IF(K5="ok",50000+AA5,0+AA5)</f>
        <v>0</v>
      </c>
      <c r="X5" s="28"/>
      <c r="Y5" s="29">
        <f t="shared" ref="Y5:Y17" si="8">CEILING(SUM(Q5:X5),500)</f>
        <v>746500</v>
      </c>
      <c r="Z5" s="8"/>
      <c r="AA5" s="8"/>
      <c r="AB5" s="8"/>
      <c r="AC5" s="8"/>
      <c r="AD5" s="30">
        <f>P5/8</f>
        <v>19</v>
      </c>
      <c r="AE5" s="8"/>
      <c r="AF5" s="8">
        <f>AD5-AE5</f>
        <v>19</v>
      </c>
      <c r="AG5" s="8">
        <f>AD5+AI5</f>
        <v>30</v>
      </c>
      <c r="AH5" s="31">
        <v>88.0</v>
      </c>
      <c r="AI5" s="8">
        <f>AH5/8</f>
        <v>11</v>
      </c>
      <c r="AK5" s="32">
        <v>1037500.0</v>
      </c>
      <c r="AL5" s="14" t="str">
        <f>C5</f>
        <v>Arif</v>
      </c>
      <c r="AN5" s="33"/>
      <c r="AO5" s="14">
        <f>AN5*AM5</f>
        <v>0</v>
      </c>
    </row>
    <row r="6" ht="24.75" customHeight="1">
      <c r="A6" s="1"/>
      <c r="B6" s="15">
        <v>2.0</v>
      </c>
      <c r="C6" s="16" t="s">
        <v>29</v>
      </c>
      <c r="D6" s="17" t="s">
        <v>30</v>
      </c>
      <c r="E6" s="18" t="s">
        <v>31</v>
      </c>
      <c r="F6" s="18" t="s">
        <v>27</v>
      </c>
      <c r="G6" s="16"/>
      <c r="H6" s="16"/>
      <c r="I6" s="19" t="s">
        <v>28</v>
      </c>
      <c r="J6" s="16"/>
      <c r="K6" s="20"/>
      <c r="L6" s="21">
        <v>11.0</v>
      </c>
      <c r="M6" s="21">
        <v>2.0</v>
      </c>
      <c r="N6" s="22">
        <v>96.0</v>
      </c>
      <c r="O6" s="23"/>
      <c r="P6" s="24">
        <f t="shared" si="1"/>
        <v>109</v>
      </c>
      <c r="Q6" s="25">
        <f>((data!$A$3/8)*L6)+((data!$B$3/8)*(M6+N6+O6))+(P6*$E$23)</f>
        <v>532750</v>
      </c>
      <c r="R6" s="25" t="str">
        <f t="shared" si="2"/>
        <v>-</v>
      </c>
      <c r="S6" s="25" t="str">
        <f t="shared" si="3"/>
        <v>-</v>
      </c>
      <c r="T6" s="26" t="str">
        <f t="shared" si="4"/>
        <v>-</v>
      </c>
      <c r="U6" s="25">
        <f t="shared" si="5"/>
        <v>0</v>
      </c>
      <c r="V6" s="27">
        <f t="shared" si="6"/>
        <v>0</v>
      </c>
      <c r="W6" s="25">
        <f t="shared" si="7"/>
        <v>0</v>
      </c>
      <c r="X6" s="28"/>
      <c r="Y6" s="29">
        <f t="shared" si="8"/>
        <v>533000</v>
      </c>
      <c r="Z6" s="8"/>
      <c r="AA6" s="8"/>
      <c r="AB6" s="8"/>
      <c r="AC6" s="8"/>
      <c r="AD6" s="30"/>
      <c r="AE6" s="8"/>
      <c r="AF6" s="8"/>
      <c r="AG6" s="8"/>
      <c r="AH6" s="31"/>
      <c r="AI6" s="8"/>
      <c r="AK6" s="32"/>
      <c r="AN6" s="33"/>
    </row>
    <row r="7" ht="24.0" customHeight="1">
      <c r="A7" s="1"/>
      <c r="B7" s="15">
        <v>3.0</v>
      </c>
      <c r="C7" s="16" t="s">
        <v>32</v>
      </c>
      <c r="D7" s="17" t="s">
        <v>3</v>
      </c>
      <c r="E7" s="16"/>
      <c r="F7" s="17"/>
      <c r="G7" s="17">
        <v>1.0</v>
      </c>
      <c r="H7" s="17"/>
      <c r="I7" s="34" t="s">
        <v>33</v>
      </c>
      <c r="J7" s="16"/>
      <c r="K7" s="17"/>
      <c r="L7" s="35"/>
      <c r="M7" s="22">
        <v>10.0</v>
      </c>
      <c r="N7" s="22">
        <v>35.0</v>
      </c>
      <c r="O7" s="36">
        <v>170.0</v>
      </c>
      <c r="P7" s="24">
        <f t="shared" si="1"/>
        <v>215</v>
      </c>
      <c r="Q7" s="25">
        <f>((data!$A$3/8)*L7)+((data!$B$3/8)*(M7+N7+O7))+(P7*$E$23)</f>
        <v>1048125</v>
      </c>
      <c r="R7" s="25">
        <f t="shared" si="2"/>
        <v>50000</v>
      </c>
      <c r="S7" s="25">
        <f t="shared" si="3"/>
        <v>26875</v>
      </c>
      <c r="T7" s="26">
        <f t="shared" si="4"/>
        <v>50000</v>
      </c>
      <c r="U7" s="25">
        <f t="shared" si="5"/>
        <v>80625</v>
      </c>
      <c r="V7" s="27">
        <f t="shared" si="6"/>
        <v>0</v>
      </c>
      <c r="W7" s="25">
        <f t="shared" si="7"/>
        <v>0</v>
      </c>
      <c r="X7" s="37">
        <v>1600.0</v>
      </c>
      <c r="Y7" s="29">
        <f t="shared" si="8"/>
        <v>1257500</v>
      </c>
      <c r="Z7" s="8"/>
      <c r="AA7" s="8"/>
      <c r="AB7" s="8"/>
      <c r="AC7" s="8"/>
      <c r="AD7" s="30">
        <f t="shared" ref="AD7:AD9" si="9">P7/8</f>
        <v>26.875</v>
      </c>
      <c r="AE7" s="8"/>
      <c r="AF7" s="8"/>
      <c r="AG7" s="8"/>
      <c r="AH7" s="31"/>
      <c r="AI7" s="8"/>
      <c r="AK7" s="32"/>
      <c r="AN7" s="33"/>
    </row>
    <row r="8" ht="21.0" customHeight="1">
      <c r="A8" s="1"/>
      <c r="B8" s="15">
        <v>4.0</v>
      </c>
      <c r="C8" s="17" t="s">
        <v>34</v>
      </c>
      <c r="D8" s="17" t="s">
        <v>3</v>
      </c>
      <c r="E8" s="16"/>
      <c r="F8" s="18" t="s">
        <v>27</v>
      </c>
      <c r="G8" s="17"/>
      <c r="H8" s="17"/>
      <c r="I8" s="34" t="s">
        <v>33</v>
      </c>
      <c r="J8" s="16"/>
      <c r="K8" s="17"/>
      <c r="L8" s="36">
        <v>93.0</v>
      </c>
      <c r="M8" s="36">
        <v>48.0</v>
      </c>
      <c r="N8" s="22">
        <v>225.0</v>
      </c>
      <c r="O8" s="38"/>
      <c r="P8" s="24">
        <f t="shared" si="1"/>
        <v>366</v>
      </c>
      <c r="Q8" s="25">
        <f>((data!$A$3/8)*L8)+((data!$B$3/8)*(M8+N8+O8))+(P8*$E$23)</f>
        <v>1795875</v>
      </c>
      <c r="R8" s="39" t="s">
        <v>28</v>
      </c>
      <c r="S8" s="25" t="str">
        <f t="shared" si="3"/>
        <v>-</v>
      </c>
      <c r="T8" s="26" t="str">
        <f t="shared" si="4"/>
        <v>-</v>
      </c>
      <c r="U8" s="25">
        <f t="shared" si="5"/>
        <v>137250</v>
      </c>
      <c r="V8" s="27">
        <f t="shared" si="6"/>
        <v>0</v>
      </c>
      <c r="W8" s="25">
        <f t="shared" si="7"/>
        <v>0</v>
      </c>
      <c r="X8" s="37">
        <v>31200.0</v>
      </c>
      <c r="Y8" s="29">
        <f t="shared" si="8"/>
        <v>1964500</v>
      </c>
      <c r="Z8" s="8"/>
      <c r="AA8" s="8"/>
      <c r="AB8" s="8"/>
      <c r="AC8" s="8"/>
      <c r="AD8" s="30">
        <f t="shared" si="9"/>
        <v>45.75</v>
      </c>
      <c r="AE8" s="8"/>
      <c r="AF8" s="8">
        <f t="shared" ref="AF8:AF9" si="10">AD8-AE8</f>
        <v>45.75</v>
      </c>
      <c r="AG8" s="8">
        <f t="shared" ref="AG8:AG9" si="11">AD8+AI8</f>
        <v>45.75</v>
      </c>
      <c r="AH8" s="40"/>
      <c r="AI8" s="8">
        <f t="shared" ref="AI8:AI9" si="12">AH8/8</f>
        <v>0</v>
      </c>
      <c r="AK8" s="32">
        <v>637500.0</v>
      </c>
      <c r="AL8" s="14" t="str">
        <f t="shared" ref="AL8:AL9" si="13">C8</f>
        <v>Henbediona</v>
      </c>
      <c r="AN8" s="33"/>
      <c r="AO8" s="14">
        <f t="shared" ref="AO8:AO9" si="14">AN8*AM8</f>
        <v>0</v>
      </c>
    </row>
    <row r="9" ht="20.25" customHeight="1">
      <c r="A9" s="41"/>
      <c r="B9" s="15">
        <v>5.0</v>
      </c>
      <c r="C9" s="17" t="s">
        <v>35</v>
      </c>
      <c r="D9" s="17" t="s">
        <v>30</v>
      </c>
      <c r="E9" s="18" t="s">
        <v>31</v>
      </c>
      <c r="F9" s="17"/>
      <c r="G9" s="17"/>
      <c r="H9" s="17"/>
      <c r="I9" s="19" t="s">
        <v>28</v>
      </c>
      <c r="J9" s="16"/>
      <c r="K9" s="42"/>
      <c r="L9" s="36">
        <v>124.0</v>
      </c>
      <c r="M9" s="22">
        <v>5.0</v>
      </c>
      <c r="N9" s="36">
        <v>42.0</v>
      </c>
      <c r="O9" s="38"/>
      <c r="P9" s="24">
        <f t="shared" si="1"/>
        <v>171</v>
      </c>
      <c r="Q9" s="25">
        <f>((data!$A$3/8)*L9)+((data!$B$3/8)*(M9+N9+O9))+(P9*$E$23)</f>
        <v>849125</v>
      </c>
      <c r="R9" s="25" t="str">
        <f t="shared" ref="R9:R14" si="15">IF(E9&lt;&gt;"","-",
IF(LOWER(D9)="percobaan",0,
IF(AND(G9&gt;0,LOWER(H9)="ok"),100000,
IF(G9&gt;0,50000,
100000))))</f>
        <v>-</v>
      </c>
      <c r="S9" s="25">
        <f t="shared" si="3"/>
        <v>21375</v>
      </c>
      <c r="T9" s="26" t="str">
        <f t="shared" si="4"/>
        <v>-</v>
      </c>
      <c r="U9" s="25">
        <f t="shared" si="5"/>
        <v>0</v>
      </c>
      <c r="V9" s="27">
        <f t="shared" si="6"/>
        <v>0</v>
      </c>
      <c r="W9" s="25">
        <f t="shared" si="7"/>
        <v>0</v>
      </c>
      <c r="X9" s="37">
        <v>400.0</v>
      </c>
      <c r="Y9" s="29">
        <f t="shared" si="8"/>
        <v>871000</v>
      </c>
      <c r="Z9" s="8"/>
      <c r="AA9" s="8"/>
      <c r="AB9" s="8"/>
      <c r="AC9" s="8"/>
      <c r="AD9" s="30">
        <f t="shared" si="9"/>
        <v>21.375</v>
      </c>
      <c r="AE9" s="8"/>
      <c r="AF9" s="8">
        <f t="shared" si="10"/>
        <v>21.375</v>
      </c>
      <c r="AG9" s="8">
        <f t="shared" si="11"/>
        <v>23.375</v>
      </c>
      <c r="AH9" s="40">
        <v>16.0</v>
      </c>
      <c r="AI9" s="8">
        <f t="shared" si="12"/>
        <v>2</v>
      </c>
      <c r="AJ9" s="8"/>
      <c r="AK9" s="43">
        <v>398500.0</v>
      </c>
      <c r="AL9" s="8" t="str">
        <f t="shared" si="13"/>
        <v>Iman</v>
      </c>
      <c r="AM9" s="8"/>
      <c r="AN9" s="44"/>
      <c r="AO9" s="8">
        <f t="shared" si="14"/>
        <v>0</v>
      </c>
      <c r="AP9" s="8"/>
    </row>
    <row r="10" ht="20.25" customHeight="1">
      <c r="A10" s="45"/>
      <c r="B10" s="15">
        <v>6.0</v>
      </c>
      <c r="C10" s="46" t="s">
        <v>36</v>
      </c>
      <c r="D10" s="46" t="s">
        <v>30</v>
      </c>
      <c r="E10" s="16"/>
      <c r="F10" s="17"/>
      <c r="G10" s="17"/>
      <c r="H10" s="17"/>
      <c r="I10" s="19" t="s">
        <v>28</v>
      </c>
      <c r="J10" s="16"/>
      <c r="K10" s="42"/>
      <c r="L10" s="36">
        <v>24.0</v>
      </c>
      <c r="M10" s="47"/>
      <c r="N10" s="38"/>
      <c r="O10" s="38"/>
      <c r="P10" s="24">
        <f t="shared" si="1"/>
        <v>24</v>
      </c>
      <c r="Q10" s="25">
        <f>((data!$A$3/8)*L10)+((data!$B$3/8)*(M10+N10+O10))+(P10*$E$23)</f>
        <v>120000</v>
      </c>
      <c r="R10" s="25">
        <f t="shared" si="15"/>
        <v>0</v>
      </c>
      <c r="S10" s="25">
        <f t="shared" si="3"/>
        <v>3000</v>
      </c>
      <c r="T10" s="26" t="str">
        <f t="shared" si="4"/>
        <v>-</v>
      </c>
      <c r="U10" s="25">
        <f t="shared" si="5"/>
        <v>0</v>
      </c>
      <c r="V10" s="27">
        <f t="shared" si="6"/>
        <v>0</v>
      </c>
      <c r="W10" s="39">
        <v>90000.0</v>
      </c>
      <c r="X10" s="28"/>
      <c r="Y10" s="29">
        <f t="shared" si="8"/>
        <v>213000</v>
      </c>
      <c r="Z10" s="48"/>
      <c r="AA10" s="48"/>
      <c r="AB10" s="48"/>
      <c r="AC10" s="48"/>
      <c r="AD10" s="30"/>
      <c r="AE10" s="8"/>
      <c r="AF10" s="8"/>
      <c r="AG10" s="8"/>
      <c r="AH10" s="40"/>
      <c r="AI10" s="8"/>
      <c r="AJ10" s="48"/>
      <c r="AK10" s="49"/>
      <c r="AL10" s="48"/>
      <c r="AM10" s="48"/>
      <c r="AN10" s="50"/>
      <c r="AO10" s="48"/>
      <c r="AP10" s="48"/>
    </row>
    <row r="11" ht="27.0" customHeight="1">
      <c r="A11" s="1"/>
      <c r="B11" s="15">
        <v>7.0</v>
      </c>
      <c r="C11" s="16" t="s">
        <v>37</v>
      </c>
      <c r="D11" s="17" t="s">
        <v>30</v>
      </c>
      <c r="E11" s="18" t="s">
        <v>26</v>
      </c>
      <c r="F11" s="18" t="s">
        <v>27</v>
      </c>
      <c r="G11" s="17">
        <v>1.0</v>
      </c>
      <c r="H11" s="17"/>
      <c r="I11" s="19" t="s">
        <v>28</v>
      </c>
      <c r="J11" s="16"/>
      <c r="K11" s="42"/>
      <c r="L11" s="22">
        <v>122.0</v>
      </c>
      <c r="M11" s="22">
        <v>8.0</v>
      </c>
      <c r="N11" s="51">
        <v>13.0</v>
      </c>
      <c r="O11" s="38"/>
      <c r="P11" s="24">
        <f t="shared" si="1"/>
        <v>143</v>
      </c>
      <c r="Q11" s="25">
        <f>((data!$A$3/8)*L11)+((data!$B$3/8)*(M11+N11+O11))+(P11*$E$23)</f>
        <v>712375</v>
      </c>
      <c r="R11" s="25" t="str">
        <f t="shared" si="15"/>
        <v>-</v>
      </c>
      <c r="S11" s="25" t="str">
        <f t="shared" si="3"/>
        <v>-</v>
      </c>
      <c r="T11" s="26" t="str">
        <f t="shared" si="4"/>
        <v>-</v>
      </c>
      <c r="U11" s="25">
        <f t="shared" si="5"/>
        <v>0</v>
      </c>
      <c r="V11" s="27">
        <f t="shared" si="6"/>
        <v>0</v>
      </c>
      <c r="W11" s="25">
        <f t="shared" ref="W11:W16" si="16">IF(K11="ok",50000+AA11,0+AA11)</f>
        <v>0</v>
      </c>
      <c r="X11" s="37">
        <v>5600.0</v>
      </c>
      <c r="Y11" s="29">
        <f t="shared" si="8"/>
        <v>718000</v>
      </c>
      <c r="AD11" s="30">
        <f>P11/8</f>
        <v>17.875</v>
      </c>
      <c r="AE11" s="8"/>
      <c r="AF11" s="8">
        <f>AD11-AE11</f>
        <v>17.875</v>
      </c>
      <c r="AG11" s="8">
        <f>AD11+AI11</f>
        <v>22.875</v>
      </c>
      <c r="AH11" s="40">
        <v>40.0</v>
      </c>
      <c r="AI11" s="8">
        <f>AH11/8</f>
        <v>5</v>
      </c>
      <c r="AK11" s="32">
        <v>1120500.0</v>
      </c>
      <c r="AL11" s="14" t="str">
        <f t="shared" ref="AL11:AL16" si="17">C11</f>
        <v>Ridwan</v>
      </c>
      <c r="AN11" s="33"/>
      <c r="AO11" s="14">
        <f>AN11*AM11</f>
        <v>0</v>
      </c>
    </row>
    <row r="12" ht="25.5" customHeight="1">
      <c r="A12" s="52"/>
      <c r="B12" s="15">
        <v>8.0</v>
      </c>
      <c r="C12" s="16" t="s">
        <v>38</v>
      </c>
      <c r="D12" s="17" t="s">
        <v>30</v>
      </c>
      <c r="E12" s="16"/>
      <c r="F12" s="17"/>
      <c r="G12" s="17"/>
      <c r="H12" s="17"/>
      <c r="I12" s="19" t="s">
        <v>28</v>
      </c>
      <c r="J12" s="16"/>
      <c r="K12" s="17"/>
      <c r="L12" s="22">
        <v>10.0</v>
      </c>
      <c r="M12" s="22">
        <v>72.0</v>
      </c>
      <c r="N12" s="51">
        <v>3.0</v>
      </c>
      <c r="O12" s="51">
        <v>72.0</v>
      </c>
      <c r="P12" s="24">
        <f t="shared" si="1"/>
        <v>157</v>
      </c>
      <c r="Q12" s="25">
        <f>((data!$A$3/8)*L12)+((data!$B$3/8)*(M12+N12+O12))+(P12*$E$23)</f>
        <v>766625</v>
      </c>
      <c r="R12" s="25">
        <f t="shared" si="15"/>
        <v>0</v>
      </c>
      <c r="S12" s="25">
        <f t="shared" si="3"/>
        <v>19625</v>
      </c>
      <c r="T12" s="26" t="str">
        <f t="shared" si="4"/>
        <v>-</v>
      </c>
      <c r="U12" s="25">
        <f t="shared" si="5"/>
        <v>0</v>
      </c>
      <c r="V12" s="27">
        <f t="shared" si="6"/>
        <v>0</v>
      </c>
      <c r="W12" s="25">
        <f t="shared" si="16"/>
        <v>0</v>
      </c>
      <c r="X12" s="37">
        <v>4400.0</v>
      </c>
      <c r="Y12" s="29">
        <f t="shared" si="8"/>
        <v>791000</v>
      </c>
      <c r="AD12" s="30"/>
      <c r="AE12" s="8"/>
      <c r="AF12" s="8"/>
      <c r="AG12" s="8"/>
      <c r="AH12" s="53"/>
      <c r="AI12" s="8"/>
      <c r="AK12" s="32"/>
      <c r="AL12" s="14" t="str">
        <f t="shared" si="17"/>
        <v>Ririn</v>
      </c>
      <c r="AN12" s="54"/>
    </row>
    <row r="13" ht="25.5" customHeight="1">
      <c r="A13" s="1"/>
      <c r="B13" s="15">
        <v>9.0</v>
      </c>
      <c r="C13" s="16" t="s">
        <v>39</v>
      </c>
      <c r="D13" s="17" t="s">
        <v>3</v>
      </c>
      <c r="E13" s="16"/>
      <c r="F13" s="17"/>
      <c r="G13" s="17">
        <v>1.0</v>
      </c>
      <c r="H13" s="17"/>
      <c r="I13" s="19" t="s">
        <v>28</v>
      </c>
      <c r="J13" s="16"/>
      <c r="K13" s="42"/>
      <c r="L13" s="36">
        <v>54.0</v>
      </c>
      <c r="M13" s="22">
        <v>122.0</v>
      </c>
      <c r="N13" s="36">
        <v>10.0</v>
      </c>
      <c r="O13" s="38"/>
      <c r="P13" s="24">
        <f t="shared" si="1"/>
        <v>186</v>
      </c>
      <c r="Q13" s="25">
        <f>((data!$A$3/8)*L13)+((data!$B$3/8)*(M13+N13+O13))+(P13*$E$23)</f>
        <v>913500</v>
      </c>
      <c r="R13" s="25">
        <f t="shared" si="15"/>
        <v>50000</v>
      </c>
      <c r="S13" s="25">
        <f t="shared" si="3"/>
        <v>23250</v>
      </c>
      <c r="T13" s="26">
        <f t="shared" si="4"/>
        <v>50000</v>
      </c>
      <c r="U13" s="25">
        <f t="shared" si="5"/>
        <v>0</v>
      </c>
      <c r="V13" s="27">
        <f t="shared" si="6"/>
        <v>0</v>
      </c>
      <c r="W13" s="25">
        <f t="shared" si="16"/>
        <v>0</v>
      </c>
      <c r="X13" s="37">
        <v>2400.0</v>
      </c>
      <c r="Y13" s="29">
        <f t="shared" si="8"/>
        <v>1039500</v>
      </c>
      <c r="AD13" s="30">
        <f t="shared" ref="AD13:AD15" si="18">P13/8</f>
        <v>23.25</v>
      </c>
      <c r="AE13" s="8"/>
      <c r="AF13" s="8">
        <f t="shared" ref="AF13:AF15" si="19">AD13-AE13</f>
        <v>23.25</v>
      </c>
      <c r="AG13" s="8">
        <f t="shared" ref="AG13:AG14" si="20">AD13+AI13</f>
        <v>23.25</v>
      </c>
      <c r="AH13" s="40"/>
      <c r="AI13" s="8">
        <f t="shared" ref="AI13:AI14" si="21">AH13/8</f>
        <v>0</v>
      </c>
      <c r="AK13" s="32">
        <v>969000.0</v>
      </c>
      <c r="AL13" s="14" t="str">
        <f t="shared" si="17"/>
        <v>Ronald</v>
      </c>
      <c r="AN13" s="33"/>
      <c r="AO13" s="14">
        <f t="shared" ref="AO13:AO15" si="22">AN13*AM13</f>
        <v>0</v>
      </c>
    </row>
    <row r="14" ht="25.5" customHeight="1">
      <c r="A14" s="1"/>
      <c r="B14" s="15">
        <v>10.0</v>
      </c>
      <c r="C14" s="16" t="s">
        <v>40</v>
      </c>
      <c r="D14" s="17" t="s">
        <v>3</v>
      </c>
      <c r="E14" s="16"/>
      <c r="F14" s="17"/>
      <c r="G14" s="17">
        <v>1.0</v>
      </c>
      <c r="H14" s="17"/>
      <c r="I14" s="34" t="s">
        <v>33</v>
      </c>
      <c r="J14" s="16"/>
      <c r="K14" s="42"/>
      <c r="L14" s="36">
        <v>1.0</v>
      </c>
      <c r="M14" s="55">
        <v>165.0</v>
      </c>
      <c r="N14" s="55">
        <v>3.0</v>
      </c>
      <c r="O14" s="56">
        <v>48.0</v>
      </c>
      <c r="P14" s="24">
        <f t="shared" si="1"/>
        <v>217</v>
      </c>
      <c r="Q14" s="25">
        <f>((data!$A$3/8)*L14)+((data!$B$3/8)*(M14+N14+O14))+(P14*$E$23)</f>
        <v>1058000</v>
      </c>
      <c r="R14" s="25">
        <f t="shared" si="15"/>
        <v>50000</v>
      </c>
      <c r="S14" s="25">
        <f t="shared" si="3"/>
        <v>27125</v>
      </c>
      <c r="T14" s="26">
        <f t="shared" si="4"/>
        <v>50000</v>
      </c>
      <c r="U14" s="25">
        <f t="shared" si="5"/>
        <v>81375</v>
      </c>
      <c r="V14" s="27">
        <f t="shared" si="6"/>
        <v>0</v>
      </c>
      <c r="W14" s="25">
        <f t="shared" si="16"/>
        <v>0</v>
      </c>
      <c r="X14" s="37">
        <v>11200.0</v>
      </c>
      <c r="Y14" s="29">
        <f t="shared" si="8"/>
        <v>1278000</v>
      </c>
      <c r="AD14" s="30">
        <f t="shared" si="18"/>
        <v>27.125</v>
      </c>
      <c r="AF14" s="14">
        <f t="shared" si="19"/>
        <v>27.125</v>
      </c>
      <c r="AG14" s="14">
        <f t="shared" si="20"/>
        <v>27.125</v>
      </c>
      <c r="AH14" s="57"/>
      <c r="AI14" s="14">
        <f t="shared" si="21"/>
        <v>0</v>
      </c>
      <c r="AK14" s="32">
        <v>756500.0</v>
      </c>
      <c r="AL14" s="14" t="str">
        <f t="shared" si="17"/>
        <v>Yulika</v>
      </c>
      <c r="AN14" s="33"/>
      <c r="AO14" s="14">
        <f t="shared" si="22"/>
        <v>0</v>
      </c>
    </row>
    <row r="15" ht="25.5" hidden="1" customHeight="1">
      <c r="A15" s="1"/>
      <c r="B15" s="58">
        <v>13.0</v>
      </c>
      <c r="C15" s="59"/>
      <c r="D15" s="60"/>
      <c r="E15" s="61"/>
      <c r="F15" s="62"/>
      <c r="G15" s="62"/>
      <c r="H15" s="62"/>
      <c r="I15" s="63"/>
      <c r="J15" s="62"/>
      <c r="K15" s="64"/>
      <c r="L15" s="65"/>
      <c r="M15" s="66"/>
      <c r="N15" s="66"/>
      <c r="O15" s="66"/>
      <c r="P15" s="24">
        <f t="shared" si="1"/>
        <v>0</v>
      </c>
      <c r="Q15" s="67">
        <f>((data!$A$3/8)*L15)+((data!$B$3/8)*(M15+N15+O15))+(P15*$E$23)</f>
        <v>0</v>
      </c>
      <c r="R15" s="67">
        <f t="shared" ref="R15:R16" si="23">IF(D15="Percobaan",0,IF(AND(E15="",G15&gt;0,H15="ok"),100000,IF(AND(E15="",G15&gt;0,H15=""),50000,IF(AND(E15=""),100000,0))))</f>
        <v>100000</v>
      </c>
      <c r="S15" s="67">
        <f>((P15/8)*1000)</f>
        <v>0</v>
      </c>
      <c r="T15" s="67">
        <f t="shared" ref="T15:T16" si="24">IF(AND(G15&gt;0,H15=""),50000,IF(AND(G15&gt;0,H15="ok"),G15*50000,0))</f>
        <v>0</v>
      </c>
      <c r="U15" s="67">
        <f t="shared" ref="U15:U16" si="25">IF(OR(D15="Percobaan",D15=""),0,IF(I15="+",P15/8*3000,IF(I15="-",0,P15/8*2000)))</f>
        <v>0</v>
      </c>
      <c r="V15" s="68">
        <f t="shared" si="6"/>
        <v>0</v>
      </c>
      <c r="W15" s="69">
        <f t="shared" si="16"/>
        <v>0</v>
      </c>
      <c r="X15" s="67"/>
      <c r="Y15" s="29">
        <f t="shared" si="8"/>
        <v>100000</v>
      </c>
      <c r="AD15" s="14">
        <f t="shared" si="18"/>
        <v>0</v>
      </c>
      <c r="AE15" s="14">
        <f t="shared" ref="AE15:AE16" si="26">AD15+AI15</f>
        <v>0</v>
      </c>
      <c r="AF15" s="14">
        <f t="shared" si="19"/>
        <v>0</v>
      </c>
      <c r="AK15" s="32">
        <v>0.0</v>
      </c>
      <c r="AL15" s="14" t="str">
        <f t="shared" si="17"/>
        <v/>
      </c>
      <c r="AN15" s="33"/>
      <c r="AO15" s="14">
        <f t="shared" si="22"/>
        <v>0</v>
      </c>
    </row>
    <row r="16" ht="25.5" hidden="1" customHeight="1">
      <c r="A16" s="1"/>
      <c r="B16" s="58">
        <v>14.0</v>
      </c>
      <c r="C16" s="59"/>
      <c r="D16" s="60"/>
      <c r="E16" s="61">
        <v>0.0</v>
      </c>
      <c r="F16" s="62"/>
      <c r="G16" s="62"/>
      <c r="H16" s="62"/>
      <c r="I16" s="70" t="s">
        <v>28</v>
      </c>
      <c r="J16" s="62"/>
      <c r="K16" s="64"/>
      <c r="L16" s="65"/>
      <c r="M16" s="65"/>
      <c r="N16" s="65"/>
      <c r="O16" s="65"/>
      <c r="P16" s="24">
        <f t="shared" si="1"/>
        <v>0</v>
      </c>
      <c r="Q16" s="67">
        <f>((data!$A$3/8)*L16)+((data!$B$3/8)*(M16+N16+O16))+(P16*$E$23)</f>
        <v>0</v>
      </c>
      <c r="R16" s="67">
        <f t="shared" si="23"/>
        <v>0</v>
      </c>
      <c r="S16" s="67">
        <v>0.0</v>
      </c>
      <c r="T16" s="67">
        <f t="shared" si="24"/>
        <v>0</v>
      </c>
      <c r="U16" s="67">
        <f t="shared" si="25"/>
        <v>0</v>
      </c>
      <c r="V16" s="68">
        <f t="shared" si="6"/>
        <v>0</v>
      </c>
      <c r="W16" s="69">
        <f t="shared" si="16"/>
        <v>0</v>
      </c>
      <c r="X16" s="67"/>
      <c r="Y16" s="29">
        <f t="shared" si="8"/>
        <v>0</v>
      </c>
      <c r="AE16" s="14">
        <f t="shared" si="26"/>
        <v>0</v>
      </c>
      <c r="AK16" s="32">
        <v>0.0</v>
      </c>
      <c r="AL16" s="14" t="str">
        <f t="shared" si="17"/>
        <v/>
      </c>
    </row>
    <row r="17" ht="25.5" customHeight="1">
      <c r="A17" s="1"/>
      <c r="B17" s="71"/>
      <c r="C17" s="72"/>
      <c r="D17" s="72"/>
      <c r="E17" s="73"/>
      <c r="F17" s="72"/>
      <c r="G17" s="74"/>
      <c r="H17" s="74"/>
      <c r="I17" s="74"/>
      <c r="J17" s="73">
        <f>SUM(J5:J15)</f>
        <v>0</v>
      </c>
      <c r="K17" s="75"/>
      <c r="L17" s="76">
        <f>SUM(L5:L15)</f>
        <v>480</v>
      </c>
      <c r="M17" s="76">
        <f t="shared" ref="M17:N17" si="27">SUM(M5:M16)</f>
        <v>490</v>
      </c>
      <c r="N17" s="76">
        <f t="shared" si="27"/>
        <v>480</v>
      </c>
      <c r="O17" s="76">
        <f>SUM(O5:O15)</f>
        <v>290</v>
      </c>
      <c r="P17" s="77">
        <f t="shared" si="1"/>
        <v>1740</v>
      </c>
      <c r="Q17" s="78">
        <f t="shared" ref="Q17:X17" si="28">SUM(Q5:Q15)</f>
        <v>8542500</v>
      </c>
      <c r="R17" s="78">
        <f t="shared" si="28"/>
        <v>250000</v>
      </c>
      <c r="S17" s="78">
        <f t="shared" si="28"/>
        <v>121250</v>
      </c>
      <c r="T17" s="78">
        <f t="shared" si="28"/>
        <v>150000</v>
      </c>
      <c r="U17" s="78">
        <f t="shared" si="28"/>
        <v>299250</v>
      </c>
      <c r="V17" s="79">
        <f t="shared" si="28"/>
        <v>0</v>
      </c>
      <c r="W17" s="78">
        <f t="shared" si="28"/>
        <v>90000</v>
      </c>
      <c r="X17" s="78">
        <f t="shared" si="28"/>
        <v>56800</v>
      </c>
      <c r="Y17" s="80">
        <f t="shared" si="8"/>
        <v>9510000</v>
      </c>
      <c r="AH17" s="14">
        <f t="shared" ref="AH17:AI17" si="29">SUM(AH5:AH14)</f>
        <v>144</v>
      </c>
      <c r="AI17" s="14">
        <f t="shared" si="29"/>
        <v>18</v>
      </c>
      <c r="AK17" s="81">
        <f>SUM(AK5:AK16)</f>
        <v>4919500</v>
      </c>
    </row>
    <row r="18" ht="25.5" customHeight="1">
      <c r="A18" s="1"/>
      <c r="B18" s="82"/>
      <c r="C18" s="83"/>
      <c r="D18" s="83"/>
      <c r="E18" s="83"/>
      <c r="F18" s="83"/>
      <c r="G18" s="83"/>
      <c r="H18" s="83"/>
      <c r="I18" s="83"/>
      <c r="J18" s="83"/>
      <c r="K18" s="83"/>
      <c r="L18" s="84">
        <f>L17+M17+N17</f>
        <v>1450</v>
      </c>
      <c r="O18" s="85"/>
      <c r="P18" s="85"/>
      <c r="Q18" s="85"/>
      <c r="R18" s="85"/>
      <c r="S18" s="85"/>
      <c r="T18" s="85"/>
      <c r="U18" s="85"/>
      <c r="V18" s="85"/>
      <c r="W18" s="86">
        <f>NOW()</f>
        <v>46150.86619</v>
      </c>
      <c r="Y18" s="85"/>
    </row>
    <row r="19" ht="25.5" hidden="1" customHeight="1">
      <c r="A19" s="1"/>
      <c r="B19" s="82"/>
      <c r="C19" s="83"/>
      <c r="D19" s="83"/>
      <c r="E19" s="83"/>
      <c r="F19" s="83"/>
      <c r="G19" s="83"/>
      <c r="H19" s="83"/>
      <c r="I19" s="83"/>
      <c r="J19" s="83"/>
      <c r="K19" s="83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</row>
    <row r="20" ht="25.5" hidden="1" customHeight="1">
      <c r="A20" s="1"/>
      <c r="B20" s="87"/>
      <c r="C20" s="87"/>
      <c r="D20" s="87"/>
      <c r="E20" s="88"/>
      <c r="F20" s="87"/>
      <c r="G20" s="87"/>
      <c r="H20" s="89"/>
      <c r="I20" s="90"/>
      <c r="J20" s="90"/>
      <c r="K20" s="82"/>
      <c r="L20" s="91">
        <f>SUM(L17:N17)</f>
        <v>1450</v>
      </c>
      <c r="M20" s="92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</row>
    <row r="21" ht="25.5" hidden="1" customHeight="1">
      <c r="A21" s="1"/>
      <c r="B21" s="88"/>
      <c r="C21" s="88"/>
      <c r="D21" s="88"/>
      <c r="E21" s="88"/>
      <c r="F21" s="88"/>
      <c r="G21" s="88"/>
      <c r="H21" s="89"/>
      <c r="I21" s="89"/>
      <c r="J21" s="89"/>
      <c r="K21" s="90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</row>
    <row r="22" ht="25.5" hidden="1" customHeight="1">
      <c r="A22" s="1"/>
      <c r="B22" s="94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</row>
    <row r="23" ht="25.5" customHeight="1">
      <c r="A23" s="1"/>
      <c r="B23" s="95"/>
      <c r="C23" s="95" t="s">
        <v>41</v>
      </c>
      <c r="D23" s="95"/>
      <c r="E23" s="96">
        <f>IF(L18&gt;0,data!F3/L18)</f>
        <v>0</v>
      </c>
      <c r="F23" s="13"/>
      <c r="G23" s="88"/>
      <c r="H23" s="88"/>
      <c r="I23" s="88"/>
      <c r="J23" s="97" t="s">
        <v>42</v>
      </c>
      <c r="K23" s="97"/>
      <c r="L23" s="97"/>
      <c r="M23" s="97"/>
      <c r="N23" s="97"/>
      <c r="O23" s="97"/>
      <c r="P23" s="97"/>
      <c r="Q23" s="85"/>
      <c r="R23" s="85"/>
      <c r="S23" s="85"/>
      <c r="T23" s="85"/>
      <c r="U23" s="85"/>
      <c r="V23" s="85"/>
      <c r="W23" s="85"/>
      <c r="X23" s="89"/>
      <c r="Y23" s="89"/>
    </row>
    <row r="24" ht="25.5" hidden="1" customHeight="1">
      <c r="A24" s="1"/>
      <c r="B24" s="98"/>
      <c r="C24" s="98"/>
      <c r="D24" s="98"/>
      <c r="E24" s="90"/>
      <c r="F24" s="90"/>
      <c r="G24" s="88"/>
      <c r="H24" s="88"/>
      <c r="I24" s="88"/>
      <c r="J24" s="88"/>
      <c r="K24" s="99"/>
      <c r="L24" s="99"/>
      <c r="M24" s="99"/>
      <c r="N24" s="99"/>
      <c r="O24" s="100"/>
      <c r="P24" s="100"/>
      <c r="Q24" s="85"/>
      <c r="R24" s="85"/>
      <c r="S24" s="85"/>
      <c r="T24" s="85"/>
      <c r="U24" s="85"/>
      <c r="V24" s="85"/>
      <c r="W24" s="85"/>
      <c r="X24" s="89"/>
      <c r="Y24" s="89"/>
    </row>
    <row r="25" ht="25.5" hidden="1" customHeight="1">
      <c r="A25" s="1"/>
      <c r="B25" s="90"/>
      <c r="C25" s="90"/>
      <c r="D25" s="90"/>
      <c r="E25" s="90"/>
      <c r="F25" s="90"/>
      <c r="G25" s="88"/>
      <c r="H25" s="88"/>
      <c r="I25" s="88"/>
      <c r="J25" s="88"/>
      <c r="K25" s="100"/>
      <c r="L25" s="100"/>
      <c r="M25" s="100"/>
      <c r="N25" s="99"/>
      <c r="O25" s="100"/>
      <c r="P25" s="100"/>
      <c r="Q25" s="85"/>
      <c r="R25" s="85"/>
      <c r="S25" s="85"/>
      <c r="T25" s="85"/>
      <c r="U25" s="85"/>
      <c r="V25" s="85"/>
      <c r="W25" s="85"/>
      <c r="X25" s="89"/>
      <c r="Y25" s="89"/>
    </row>
    <row r="26" ht="25.5" customHeight="1">
      <c r="A26" s="1"/>
      <c r="B26" s="101" t="s">
        <v>43</v>
      </c>
      <c r="C26" s="102"/>
      <c r="D26" s="102"/>
      <c r="E26" s="13"/>
      <c r="F26" s="103">
        <v>2.0</v>
      </c>
      <c r="G26" s="88"/>
      <c r="H26" s="88"/>
      <c r="I26" s="88"/>
      <c r="J26" s="104"/>
      <c r="Q26" s="85"/>
      <c r="R26" s="85"/>
      <c r="S26" s="85"/>
      <c r="T26" s="85"/>
      <c r="U26" s="85"/>
      <c r="V26" s="85"/>
      <c r="W26" s="85"/>
      <c r="X26" s="105">
        <f>1.5*data!A3</f>
        <v>60000</v>
      </c>
      <c r="Y26" s="106">
        <f t="shared" ref="Y26:Y27" si="30">X26/8</f>
        <v>7500</v>
      </c>
    </row>
    <row r="27" ht="25.5" customHeight="1">
      <c r="A27" s="1"/>
      <c r="B27" s="101" t="s">
        <v>44</v>
      </c>
      <c r="C27" s="102"/>
      <c r="D27" s="102"/>
      <c r="E27" s="13"/>
      <c r="F27" s="107">
        <f>28*24*F26</f>
        <v>1344</v>
      </c>
      <c r="G27" s="108"/>
      <c r="H27" s="107"/>
      <c r="I27" s="108"/>
      <c r="Q27" s="85"/>
      <c r="R27" s="85"/>
      <c r="S27" s="85"/>
      <c r="T27" s="85"/>
      <c r="U27" s="85"/>
      <c r="V27" s="85"/>
      <c r="W27" s="85"/>
      <c r="X27" s="105">
        <f>X26-data!A3</f>
        <v>20000</v>
      </c>
      <c r="Y27" s="106">
        <f t="shared" si="30"/>
        <v>2500</v>
      </c>
    </row>
    <row r="28" ht="25.5" customHeight="1">
      <c r="A28" s="1"/>
      <c r="B28" s="101" t="s">
        <v>45</v>
      </c>
      <c r="C28" s="102"/>
      <c r="D28" s="102"/>
      <c r="E28" s="13"/>
      <c r="F28" s="107">
        <v>0.0</v>
      </c>
      <c r="G28" s="108"/>
      <c r="H28" s="108"/>
      <c r="I28" s="108"/>
      <c r="J28" s="108"/>
      <c r="K28" s="100"/>
      <c r="L28" s="109"/>
      <c r="M28" s="100"/>
      <c r="N28" s="99"/>
      <c r="O28" s="100"/>
      <c r="P28" s="110"/>
      <c r="Q28" s="85"/>
      <c r="R28" s="85"/>
      <c r="S28" s="85"/>
      <c r="T28" s="85"/>
      <c r="U28" s="85"/>
      <c r="V28" s="85"/>
      <c r="W28" s="85"/>
      <c r="X28" s="89"/>
      <c r="Y28" s="89"/>
    </row>
    <row r="29" ht="25.5" customHeight="1">
      <c r="A29" s="1"/>
      <c r="B29" s="101" t="s">
        <v>46</v>
      </c>
      <c r="C29" s="102"/>
      <c r="D29" s="102"/>
      <c r="E29" s="13"/>
      <c r="F29" s="111">
        <f>F27-F28</f>
        <v>1344</v>
      </c>
      <c r="G29" s="112"/>
      <c r="H29" s="112"/>
      <c r="I29" s="112"/>
      <c r="J29" s="112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9"/>
      <c r="Y29" s="89"/>
    </row>
    <row r="30" ht="25.5" customHeight="1">
      <c r="A30" s="1"/>
      <c r="B30" s="113" t="s">
        <v>47</v>
      </c>
      <c r="C30" s="102"/>
      <c r="D30" s="102"/>
      <c r="E30" s="13"/>
      <c r="F30" s="114">
        <f>P17</f>
        <v>1740</v>
      </c>
      <c r="G30" s="112"/>
      <c r="H30" s="112"/>
      <c r="I30" s="112"/>
      <c r="J30" s="112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93"/>
      <c r="Y30" s="93"/>
    </row>
    <row r="31" ht="25.5" customHeight="1">
      <c r="A31" s="1"/>
      <c r="B31" s="113" t="s">
        <v>48</v>
      </c>
      <c r="C31" s="102"/>
      <c r="D31" s="102"/>
      <c r="E31" s="13"/>
      <c r="F31" s="115">
        <f>-(F29-F30)</f>
        <v>396</v>
      </c>
      <c r="G31" s="108"/>
      <c r="H31" s="108"/>
      <c r="I31" s="108"/>
      <c r="J31" s="112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2"/>
      <c r="Y31" s="90"/>
    </row>
    <row r="32" ht="25.5" customHeight="1">
      <c r="Y32" s="116"/>
    </row>
    <row r="33" ht="25.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B27:E27"/>
    <mergeCell ref="B28:E28"/>
    <mergeCell ref="B29:E29"/>
    <mergeCell ref="B30:E30"/>
    <mergeCell ref="B31:E31"/>
    <mergeCell ref="B3:D3"/>
    <mergeCell ref="AH4:AI4"/>
    <mergeCell ref="L18:N18"/>
    <mergeCell ref="W18:X18"/>
    <mergeCell ref="E23:F23"/>
    <mergeCell ref="B26:E26"/>
    <mergeCell ref="J26:P27"/>
  </mergeCells>
  <conditionalFormatting sqref="A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5:AD16">
    <cfRule type="cellIs" dxfId="0" priority="2" operator="greaterThan">
      <formula>26</formula>
    </cfRule>
  </conditionalFormatting>
  <conditionalFormatting sqref="AD5:AD16">
    <cfRule type="cellIs" dxfId="1" priority="3" operator="lessThan">
      <formula>24</formula>
    </cfRule>
  </conditionalFormatting>
  <printOptions/>
  <pageMargins bottom="0.75" footer="0.0" header="0.0" left="0.25" right="0.25" top="0.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" width="9.0"/>
    <col customWidth="1" min="3" max="3" width="3.43"/>
    <col customWidth="1" min="4" max="4" width="9.29"/>
    <col customWidth="1" min="5" max="5" width="17.43"/>
    <col customWidth="1" min="6" max="6" width="13.0"/>
    <col customWidth="1" min="7" max="7" width="18.43"/>
    <col customWidth="1" min="8" max="26" width="9.0"/>
  </cols>
  <sheetData>
    <row r="5">
      <c r="D5" s="117" t="s">
        <v>49</v>
      </c>
      <c r="E5" s="118"/>
      <c r="F5" s="118"/>
      <c r="G5" s="119"/>
    </row>
    <row r="6">
      <c r="D6" s="120" t="s">
        <v>37</v>
      </c>
      <c r="E6" s="120" t="s">
        <v>50</v>
      </c>
      <c r="F6" s="120" t="s">
        <v>51</v>
      </c>
      <c r="G6" s="120"/>
      <c r="J6" s="121"/>
    </row>
    <row r="7">
      <c r="D7" s="120" t="s">
        <v>35</v>
      </c>
      <c r="E7" s="120"/>
      <c r="F7" s="120"/>
      <c r="G7" s="120"/>
    </row>
    <row r="10">
      <c r="D10" s="122"/>
    </row>
    <row r="11">
      <c r="D11" s="122"/>
      <c r="E11" s="122"/>
      <c r="F11" s="122"/>
      <c r="G11" s="122"/>
    </row>
    <row r="12">
      <c r="D12" s="122"/>
      <c r="E12" s="122"/>
      <c r="F12" s="122"/>
      <c r="G12" s="122"/>
    </row>
    <row r="15">
      <c r="D15" s="120" t="s">
        <v>52</v>
      </c>
      <c r="E15" s="120" t="s">
        <v>53</v>
      </c>
    </row>
    <row r="16">
      <c r="D16" s="120" t="s">
        <v>40</v>
      </c>
      <c r="E16" s="123" t="s">
        <v>54</v>
      </c>
    </row>
    <row r="17">
      <c r="D17" s="120" t="s">
        <v>32</v>
      </c>
      <c r="E17" s="123" t="s">
        <v>55</v>
      </c>
    </row>
    <row r="18">
      <c r="D18" s="120" t="s">
        <v>56</v>
      </c>
      <c r="E18" s="123">
        <v>45554.0</v>
      </c>
    </row>
    <row r="19">
      <c r="D19" s="120" t="s">
        <v>37</v>
      </c>
      <c r="E19" s="123" t="s">
        <v>57</v>
      </c>
    </row>
    <row r="20">
      <c r="D20" s="120" t="s">
        <v>35</v>
      </c>
      <c r="E20" s="123">
        <v>45923.0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D5:G5"/>
    <mergeCell ref="D10:G10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4.86"/>
    <col customWidth="1" min="3" max="3" width="10.43"/>
    <col customWidth="1" min="4" max="6" width="9.0"/>
    <col customWidth="1" min="7" max="7" width="9.29"/>
    <col customWidth="1" min="8" max="11" width="9.0"/>
    <col customWidth="1" min="12" max="12" width="9.29"/>
    <col customWidth="1" min="13" max="13" width="10.57"/>
    <col customWidth="1" min="14" max="14" width="9.29"/>
    <col customWidth="1" min="15" max="15" width="10.57"/>
    <col customWidth="1" min="16" max="16" width="9.29"/>
    <col customWidth="1" min="17" max="17" width="10.57"/>
    <col customWidth="1" min="18" max="19" width="9.29"/>
    <col customWidth="1" min="20" max="22" width="13.0"/>
    <col customWidth="1" min="23" max="23" width="11.14"/>
    <col customWidth="1" min="24" max="26" width="11.0"/>
    <col customWidth="1" min="27" max="27" width="9.29"/>
  </cols>
  <sheetData>
    <row r="4">
      <c r="B4" s="124" t="s">
        <v>1</v>
      </c>
      <c r="C4" s="124" t="s">
        <v>2</v>
      </c>
      <c r="D4" s="125" t="s">
        <v>3</v>
      </c>
      <c r="E4" s="124" t="s">
        <v>4</v>
      </c>
      <c r="F4" s="124" t="s">
        <v>5</v>
      </c>
      <c r="G4" s="124" t="s">
        <v>6</v>
      </c>
      <c r="H4" s="124" t="s">
        <v>7</v>
      </c>
      <c r="I4" s="124" t="s">
        <v>8</v>
      </c>
      <c r="J4" s="124" t="s">
        <v>9</v>
      </c>
      <c r="K4" s="124" t="s">
        <v>10</v>
      </c>
      <c r="L4" s="124" t="s">
        <v>11</v>
      </c>
      <c r="M4" s="124" t="s">
        <v>12</v>
      </c>
      <c r="N4" s="124" t="s">
        <v>13</v>
      </c>
      <c r="O4" s="124" t="s">
        <v>14</v>
      </c>
      <c r="P4" s="124" t="s">
        <v>15</v>
      </c>
      <c r="Q4" s="124" t="s">
        <v>16</v>
      </c>
      <c r="R4" s="124" t="s">
        <v>58</v>
      </c>
      <c r="S4" s="124" t="s">
        <v>59</v>
      </c>
      <c r="T4" s="124" t="s">
        <v>4</v>
      </c>
      <c r="U4" s="124" t="s">
        <v>5</v>
      </c>
      <c r="V4" s="124" t="s">
        <v>6</v>
      </c>
      <c r="W4" s="124" t="s">
        <v>17</v>
      </c>
      <c r="X4" s="124" t="s">
        <v>18</v>
      </c>
      <c r="Y4" s="124" t="s">
        <v>19</v>
      </c>
      <c r="Z4" s="124" t="s">
        <v>20</v>
      </c>
      <c r="AA4" s="124" t="s">
        <v>21</v>
      </c>
    </row>
    <row r="5">
      <c r="B5" s="126">
        <v>1.0</v>
      </c>
      <c r="C5" s="127" t="s">
        <v>60</v>
      </c>
      <c r="D5" s="127" t="s">
        <v>3</v>
      </c>
      <c r="E5" s="126" t="s">
        <v>61</v>
      </c>
      <c r="F5" s="128"/>
      <c r="G5" s="126">
        <v>1.0</v>
      </c>
      <c r="H5" s="126"/>
      <c r="I5" s="129" t="s">
        <v>28</v>
      </c>
      <c r="J5" s="126"/>
      <c r="K5" s="126"/>
      <c r="L5" s="130">
        <v>32.0</v>
      </c>
      <c r="M5" s="130">
        <v>10.0</v>
      </c>
      <c r="N5" s="130">
        <v>152.0</v>
      </c>
      <c r="O5" s="130">
        <v>0.0</v>
      </c>
      <c r="P5" s="130">
        <v>194.0</v>
      </c>
      <c r="Q5" s="130">
        <v>766267.025089606</v>
      </c>
      <c r="R5" s="130">
        <f t="shared" ref="R5:R17" si="1">Q5/P5</f>
        <v>3949.830026</v>
      </c>
      <c r="S5" s="130">
        <f t="shared" ref="S5:S17" si="2">R5*8</f>
        <v>31598.64021</v>
      </c>
      <c r="T5" s="130">
        <v>0.0</v>
      </c>
      <c r="U5" s="130">
        <v>24250.0</v>
      </c>
      <c r="V5" s="130">
        <v>50000.0</v>
      </c>
      <c r="W5" s="130">
        <v>0.0</v>
      </c>
      <c r="X5" s="130">
        <v>0.0</v>
      </c>
      <c r="Y5" s="130">
        <v>0.0</v>
      </c>
      <c r="Z5" s="130">
        <v>2000.0</v>
      </c>
      <c r="AA5" s="130">
        <v>843000.0</v>
      </c>
    </row>
    <row r="6">
      <c r="B6" s="131">
        <v>2.0</v>
      </c>
      <c r="C6" s="132" t="s">
        <v>35</v>
      </c>
      <c r="D6" s="133" t="s">
        <v>30</v>
      </c>
      <c r="E6" s="134" t="s">
        <v>31</v>
      </c>
      <c r="F6" s="133"/>
      <c r="G6" s="134"/>
      <c r="H6" s="134"/>
      <c r="I6" s="134" t="s">
        <v>28</v>
      </c>
      <c r="J6" s="131"/>
      <c r="K6" s="134"/>
      <c r="L6" s="135">
        <v>16.0</v>
      </c>
      <c r="M6" s="135">
        <v>59.0</v>
      </c>
      <c r="N6" s="135">
        <v>40.0</v>
      </c>
      <c r="O6" s="136">
        <v>0.0</v>
      </c>
      <c r="P6" s="135">
        <v>115.0</v>
      </c>
      <c r="Q6" s="130">
        <v>453859.318996416</v>
      </c>
      <c r="R6" s="130">
        <f t="shared" si="1"/>
        <v>3946.602774</v>
      </c>
      <c r="S6" s="130">
        <f t="shared" si="2"/>
        <v>31572.82219</v>
      </c>
      <c r="T6" s="135">
        <v>0.0</v>
      </c>
      <c r="U6" s="130">
        <v>14375.0</v>
      </c>
      <c r="V6" s="135">
        <v>0.0</v>
      </c>
      <c r="W6" s="135">
        <v>0.0</v>
      </c>
      <c r="X6" s="135">
        <v>0.0</v>
      </c>
      <c r="Y6" s="135">
        <v>90000.0</v>
      </c>
      <c r="Z6" s="135">
        <v>0.0</v>
      </c>
      <c r="AA6" s="135">
        <v>558500.0</v>
      </c>
    </row>
    <row r="7">
      <c r="B7" s="126">
        <v>3.0</v>
      </c>
      <c r="C7" s="128" t="s">
        <v>62</v>
      </c>
      <c r="D7" s="127" t="s">
        <v>3</v>
      </c>
      <c r="E7" s="129"/>
      <c r="F7" s="127"/>
      <c r="G7" s="129">
        <v>2.0</v>
      </c>
      <c r="H7" s="129" t="s">
        <v>63</v>
      </c>
      <c r="I7" s="137" t="s">
        <v>33</v>
      </c>
      <c r="J7" s="126"/>
      <c r="K7" s="129" t="s">
        <v>63</v>
      </c>
      <c r="L7" s="138">
        <v>202.0</v>
      </c>
      <c r="M7" s="138">
        <v>6.0</v>
      </c>
      <c r="N7" s="138">
        <v>8.0</v>
      </c>
      <c r="O7" s="138">
        <v>0.0</v>
      </c>
      <c r="P7" s="130">
        <v>216.0</v>
      </c>
      <c r="Q7" s="130">
        <v>873959.677419355</v>
      </c>
      <c r="R7" s="130">
        <f t="shared" si="1"/>
        <v>4046.109618</v>
      </c>
      <c r="S7" s="130">
        <f t="shared" si="2"/>
        <v>32368.87694</v>
      </c>
      <c r="T7" s="130">
        <v>100000.0</v>
      </c>
      <c r="U7" s="130">
        <v>27000.0</v>
      </c>
      <c r="V7" s="130">
        <v>100000.0</v>
      </c>
      <c r="W7" s="130">
        <v>81000.0</v>
      </c>
      <c r="X7" s="130">
        <v>0.0</v>
      </c>
      <c r="Y7" s="130">
        <v>50000.0</v>
      </c>
      <c r="Z7" s="130">
        <v>1500.0</v>
      </c>
      <c r="AA7" s="130">
        <v>1233500.0</v>
      </c>
    </row>
    <row r="8">
      <c r="B8" s="126">
        <v>4.0</v>
      </c>
      <c r="C8" s="127" t="s">
        <v>64</v>
      </c>
      <c r="D8" s="127" t="s">
        <v>30</v>
      </c>
      <c r="E8" s="126" t="s">
        <v>61</v>
      </c>
      <c r="F8" s="127"/>
      <c r="G8" s="129"/>
      <c r="H8" s="129"/>
      <c r="I8" s="129"/>
      <c r="J8" s="126"/>
      <c r="K8" s="129"/>
      <c r="L8" s="138">
        <v>0.0</v>
      </c>
      <c r="M8" s="138">
        <v>136.0</v>
      </c>
      <c r="N8" s="138">
        <v>72.0</v>
      </c>
      <c r="O8" s="138">
        <v>0.0</v>
      </c>
      <c r="P8" s="130">
        <v>208.0</v>
      </c>
      <c r="Q8" s="130">
        <v>817275.985663082</v>
      </c>
      <c r="R8" s="130">
        <f t="shared" si="1"/>
        <v>3929.21147</v>
      </c>
      <c r="S8" s="130">
        <f t="shared" si="2"/>
        <v>31433.69176</v>
      </c>
      <c r="T8" s="130">
        <v>0.0</v>
      </c>
      <c r="U8" s="130">
        <v>26000.0</v>
      </c>
      <c r="V8" s="130">
        <v>0.0</v>
      </c>
      <c r="W8" s="130">
        <v>0.0</v>
      </c>
      <c r="X8" s="130">
        <v>0.0</v>
      </c>
      <c r="Y8" s="130">
        <v>0.0</v>
      </c>
      <c r="Z8" s="130">
        <v>0.0</v>
      </c>
      <c r="AA8" s="130">
        <v>843500.0</v>
      </c>
    </row>
    <row r="9">
      <c r="B9" s="139">
        <v>5.0</v>
      </c>
      <c r="C9" s="140" t="s">
        <v>65</v>
      </c>
      <c r="D9" s="140" t="s">
        <v>3</v>
      </c>
      <c r="E9" s="139"/>
      <c r="F9" s="140"/>
      <c r="G9" s="141">
        <v>1.0</v>
      </c>
      <c r="H9" s="141" t="s">
        <v>63</v>
      </c>
      <c r="I9" s="141" t="s">
        <v>33</v>
      </c>
      <c r="J9" s="139"/>
      <c r="K9" s="141" t="s">
        <v>63</v>
      </c>
      <c r="L9" s="142">
        <v>4.0</v>
      </c>
      <c r="M9" s="142">
        <v>0.0</v>
      </c>
      <c r="N9" s="142">
        <v>109.0</v>
      </c>
      <c r="O9" s="142">
        <v>0.0</v>
      </c>
      <c r="P9" s="143">
        <v>113.0</v>
      </c>
      <c r="Q9" s="130">
        <v>444500.896057348</v>
      </c>
      <c r="R9" s="130">
        <f t="shared" si="1"/>
        <v>3933.636248</v>
      </c>
      <c r="S9" s="130">
        <f t="shared" si="2"/>
        <v>31469.08999</v>
      </c>
      <c r="T9" s="143">
        <v>100000.0</v>
      </c>
      <c r="U9" s="130">
        <v>14125.0</v>
      </c>
      <c r="V9" s="143">
        <v>50000.0</v>
      </c>
      <c r="W9" s="143">
        <v>42375.0</v>
      </c>
      <c r="X9" s="143">
        <v>0.0</v>
      </c>
      <c r="Y9" s="143">
        <v>50000.0</v>
      </c>
      <c r="Z9" s="143">
        <v>841000.0</v>
      </c>
      <c r="AA9" s="143">
        <v>1542500.0</v>
      </c>
    </row>
    <row r="10">
      <c r="B10" s="139">
        <v>6.0</v>
      </c>
      <c r="C10" s="144" t="s">
        <v>34</v>
      </c>
      <c r="D10" s="140" t="s">
        <v>3</v>
      </c>
      <c r="E10" s="141"/>
      <c r="F10" s="140"/>
      <c r="G10" s="141">
        <v>4.0</v>
      </c>
      <c r="H10" s="141" t="s">
        <v>63</v>
      </c>
      <c r="I10" s="141" t="s">
        <v>33</v>
      </c>
      <c r="J10" s="139"/>
      <c r="K10" s="141" t="s">
        <v>63</v>
      </c>
      <c r="L10" s="142">
        <v>0.0</v>
      </c>
      <c r="M10" s="142">
        <v>84.0</v>
      </c>
      <c r="N10" s="142">
        <v>2.0</v>
      </c>
      <c r="O10" s="142">
        <v>0.0</v>
      </c>
      <c r="P10" s="143">
        <v>86.0</v>
      </c>
      <c r="Q10" s="130">
        <v>337912.186379928</v>
      </c>
      <c r="R10" s="130">
        <f t="shared" si="1"/>
        <v>3929.21147</v>
      </c>
      <c r="S10" s="130">
        <f t="shared" si="2"/>
        <v>31433.69176</v>
      </c>
      <c r="T10" s="143">
        <v>50000.0</v>
      </c>
      <c r="U10" s="130">
        <v>10750.0</v>
      </c>
      <c r="V10" s="143">
        <v>200000.0</v>
      </c>
      <c r="W10" s="143">
        <v>32250.0</v>
      </c>
      <c r="X10" s="143">
        <v>0.0</v>
      </c>
      <c r="Y10" s="143">
        <v>50000.0</v>
      </c>
      <c r="Z10" s="143">
        <v>847000.0</v>
      </c>
      <c r="AA10" s="143">
        <v>1528000.0</v>
      </c>
    </row>
    <row r="11">
      <c r="B11" s="139">
        <v>7.0</v>
      </c>
      <c r="C11" s="144" t="s">
        <v>66</v>
      </c>
      <c r="D11" s="140" t="s">
        <v>3</v>
      </c>
      <c r="E11" s="139" t="s">
        <v>31</v>
      </c>
      <c r="F11" s="141"/>
      <c r="G11" s="141">
        <v>1.0</v>
      </c>
      <c r="H11" s="141"/>
      <c r="I11" s="141" t="s">
        <v>28</v>
      </c>
      <c r="J11" s="139"/>
      <c r="K11" s="141"/>
      <c r="L11" s="142">
        <v>0.0</v>
      </c>
      <c r="M11" s="142">
        <v>134.0</v>
      </c>
      <c r="N11" s="142">
        <v>11.0</v>
      </c>
      <c r="O11" s="142">
        <v>0.0</v>
      </c>
      <c r="P11" s="143">
        <v>145.0</v>
      </c>
      <c r="Q11" s="143">
        <v>569735.663082437</v>
      </c>
      <c r="R11" s="130">
        <f t="shared" si="1"/>
        <v>3929.21147</v>
      </c>
      <c r="S11" s="130">
        <f t="shared" si="2"/>
        <v>31433.69176</v>
      </c>
      <c r="T11" s="143">
        <v>0.0</v>
      </c>
      <c r="U11" s="143">
        <v>18125.0</v>
      </c>
      <c r="V11" s="143">
        <v>50000.0</v>
      </c>
      <c r="W11" s="143">
        <v>0.0</v>
      </c>
      <c r="X11" s="143">
        <v>0.0</v>
      </c>
      <c r="Y11" s="143">
        <v>0.0</v>
      </c>
      <c r="Z11" s="143">
        <v>196000.0</v>
      </c>
      <c r="AA11" s="143">
        <v>834000.0</v>
      </c>
    </row>
    <row r="12">
      <c r="B12" s="139">
        <v>8.0</v>
      </c>
      <c r="C12" s="144" t="s">
        <v>67</v>
      </c>
      <c r="D12" s="140" t="s">
        <v>3</v>
      </c>
      <c r="E12" s="139"/>
      <c r="F12" s="140"/>
      <c r="G12" s="141">
        <v>1.0</v>
      </c>
      <c r="H12" s="141" t="s">
        <v>63</v>
      </c>
      <c r="I12" s="141"/>
      <c r="J12" s="139"/>
      <c r="K12" s="141"/>
      <c r="L12" s="142">
        <v>41.0</v>
      </c>
      <c r="M12" s="142">
        <v>8.0</v>
      </c>
      <c r="N12" s="142">
        <v>135.0</v>
      </c>
      <c r="O12" s="142">
        <v>0.0</v>
      </c>
      <c r="P12" s="143">
        <v>184.0</v>
      </c>
      <c r="Q12" s="143">
        <v>728099.910394265</v>
      </c>
      <c r="R12" s="130">
        <f t="shared" si="1"/>
        <v>3957.06473</v>
      </c>
      <c r="S12" s="130">
        <f t="shared" si="2"/>
        <v>31656.51784</v>
      </c>
      <c r="T12" s="143">
        <v>100000.0</v>
      </c>
      <c r="U12" s="143">
        <v>23000.0</v>
      </c>
      <c r="V12" s="143">
        <v>50000.0</v>
      </c>
      <c r="W12" s="143">
        <v>46000.0</v>
      </c>
      <c r="X12" s="143">
        <v>0.0</v>
      </c>
      <c r="Y12" s="143">
        <v>0.0</v>
      </c>
      <c r="Z12" s="143">
        <v>122500.0</v>
      </c>
      <c r="AA12" s="143">
        <v>1070000.0</v>
      </c>
    </row>
    <row r="13">
      <c r="B13" s="126">
        <v>9.0</v>
      </c>
      <c r="C13" s="128" t="s">
        <v>37</v>
      </c>
      <c r="D13" s="127" t="s">
        <v>3</v>
      </c>
      <c r="E13" s="126"/>
      <c r="F13" s="127"/>
      <c r="G13" s="129">
        <v>1.0</v>
      </c>
      <c r="H13" s="129"/>
      <c r="I13" s="129" t="s">
        <v>33</v>
      </c>
      <c r="J13" s="126"/>
      <c r="K13" s="129"/>
      <c r="L13" s="138">
        <v>0.0</v>
      </c>
      <c r="M13" s="138">
        <v>216.0</v>
      </c>
      <c r="N13" s="138">
        <v>14.0</v>
      </c>
      <c r="O13" s="138">
        <v>0.0</v>
      </c>
      <c r="P13" s="130">
        <v>230.0</v>
      </c>
      <c r="Q13" s="130">
        <v>903718.637992832</v>
      </c>
      <c r="R13" s="130">
        <f t="shared" si="1"/>
        <v>3929.21147</v>
      </c>
      <c r="S13" s="130">
        <f t="shared" si="2"/>
        <v>31433.69176</v>
      </c>
      <c r="T13" s="130">
        <v>50000.0</v>
      </c>
      <c r="U13" s="130">
        <v>28750.0</v>
      </c>
      <c r="V13" s="130">
        <v>50000.0</v>
      </c>
      <c r="W13" s="130">
        <v>86250.0</v>
      </c>
      <c r="X13" s="130">
        <v>0.0</v>
      </c>
      <c r="Y13" s="130">
        <v>0.0</v>
      </c>
      <c r="Z13" s="130">
        <v>3000.0</v>
      </c>
      <c r="AA13" s="130">
        <v>1122000.0</v>
      </c>
    </row>
    <row r="14">
      <c r="B14" s="126">
        <v>10.0</v>
      </c>
      <c r="C14" s="128" t="s">
        <v>68</v>
      </c>
      <c r="D14" s="127" t="s">
        <v>3</v>
      </c>
      <c r="E14" s="129"/>
      <c r="F14" s="127"/>
      <c r="G14" s="129">
        <v>1.0</v>
      </c>
      <c r="H14" s="129"/>
      <c r="I14" s="129" t="s">
        <v>33</v>
      </c>
      <c r="J14" s="126"/>
      <c r="K14" s="129" t="s">
        <v>63</v>
      </c>
      <c r="L14" s="138">
        <v>232.0</v>
      </c>
      <c r="M14" s="138">
        <v>22.0</v>
      </c>
      <c r="N14" s="138">
        <v>0.0</v>
      </c>
      <c r="O14" s="138">
        <v>0.0</v>
      </c>
      <c r="P14" s="130">
        <v>254.0</v>
      </c>
      <c r="Q14" s="130">
        <v>1027019.71326165</v>
      </c>
      <c r="R14" s="130">
        <f t="shared" si="1"/>
        <v>4043.384698</v>
      </c>
      <c r="S14" s="130">
        <f t="shared" si="2"/>
        <v>32347.07758</v>
      </c>
      <c r="T14" s="130">
        <v>50000.0</v>
      </c>
      <c r="U14" s="130">
        <v>31750.0</v>
      </c>
      <c r="V14" s="130">
        <v>50000.0</v>
      </c>
      <c r="W14" s="130">
        <v>95250.0</v>
      </c>
      <c r="X14" s="130">
        <v>0.0</v>
      </c>
      <c r="Y14" s="130">
        <v>50000.0</v>
      </c>
      <c r="Z14" s="130">
        <v>0.0</v>
      </c>
      <c r="AA14" s="130">
        <v>1304500.0</v>
      </c>
    </row>
    <row r="15">
      <c r="B15" s="126">
        <v>11.0</v>
      </c>
      <c r="C15" s="128" t="s">
        <v>69</v>
      </c>
      <c r="D15" s="127" t="s">
        <v>3</v>
      </c>
      <c r="E15" s="126" t="s">
        <v>31</v>
      </c>
      <c r="F15" s="127"/>
      <c r="G15" s="129">
        <v>1.0</v>
      </c>
      <c r="H15" s="129"/>
      <c r="I15" s="129"/>
      <c r="J15" s="126"/>
      <c r="K15" s="129"/>
      <c r="L15" s="138">
        <v>205.0</v>
      </c>
      <c r="M15" s="138">
        <v>4.0</v>
      </c>
      <c r="N15" s="138">
        <v>1.0</v>
      </c>
      <c r="O15" s="138">
        <v>0.0</v>
      </c>
      <c r="P15" s="130">
        <v>210.0</v>
      </c>
      <c r="Q15" s="130">
        <v>850759.408602151</v>
      </c>
      <c r="R15" s="130">
        <f t="shared" si="1"/>
        <v>4051.235279</v>
      </c>
      <c r="S15" s="130">
        <f t="shared" si="2"/>
        <v>32409.88223</v>
      </c>
      <c r="T15" s="130">
        <v>0.0</v>
      </c>
      <c r="U15" s="130">
        <v>26250.0</v>
      </c>
      <c r="V15" s="130">
        <v>50000.0</v>
      </c>
      <c r="W15" s="130">
        <v>52500.0</v>
      </c>
      <c r="X15" s="130">
        <v>0.0</v>
      </c>
      <c r="Y15" s="130">
        <v>0.0</v>
      </c>
      <c r="Z15" s="130">
        <v>3000.0</v>
      </c>
      <c r="AA15" s="130">
        <v>983000.0</v>
      </c>
    </row>
    <row r="16">
      <c r="B16" s="126">
        <v>12.0</v>
      </c>
      <c r="C16" s="128" t="s">
        <v>25</v>
      </c>
      <c r="D16" s="127" t="s">
        <v>30</v>
      </c>
      <c r="E16" s="126" t="s">
        <v>31</v>
      </c>
      <c r="F16" s="145"/>
      <c r="G16" s="145"/>
      <c r="H16" s="145"/>
      <c r="I16" s="129"/>
      <c r="J16" s="145"/>
      <c r="K16" s="145"/>
      <c r="L16" s="138">
        <v>4.0</v>
      </c>
      <c r="M16" s="138">
        <v>32.0</v>
      </c>
      <c r="N16" s="138">
        <v>170.0</v>
      </c>
      <c r="O16" s="138">
        <v>0.0</v>
      </c>
      <c r="P16" s="130">
        <v>206.0</v>
      </c>
      <c r="Q16" s="130">
        <v>809917.562724014</v>
      </c>
      <c r="R16" s="130">
        <f t="shared" si="1"/>
        <v>3931.638654</v>
      </c>
      <c r="S16" s="130">
        <f t="shared" si="2"/>
        <v>31453.10923</v>
      </c>
      <c r="T16" s="130">
        <v>0.0</v>
      </c>
      <c r="U16" s="130">
        <v>25750.0</v>
      </c>
      <c r="V16" s="130">
        <v>0.0</v>
      </c>
      <c r="W16" s="130">
        <v>0.0</v>
      </c>
      <c r="X16" s="130">
        <v>0.0</v>
      </c>
      <c r="Y16" s="130">
        <v>0.0</v>
      </c>
      <c r="Z16" s="130">
        <v>1000.0</v>
      </c>
      <c r="AA16" s="130">
        <v>837000.0</v>
      </c>
    </row>
    <row r="17">
      <c r="B17" s="126">
        <v>13.0</v>
      </c>
      <c r="C17" s="128" t="s">
        <v>70</v>
      </c>
      <c r="D17" s="127" t="s">
        <v>30</v>
      </c>
      <c r="E17" s="126" t="s">
        <v>31</v>
      </c>
      <c r="F17" s="145"/>
      <c r="G17" s="145"/>
      <c r="H17" s="145"/>
      <c r="I17" s="129" t="s">
        <v>28</v>
      </c>
      <c r="J17" s="145"/>
      <c r="K17" s="145"/>
      <c r="L17" s="138">
        <v>8.0</v>
      </c>
      <c r="M17" s="138">
        <v>33.0</v>
      </c>
      <c r="N17" s="138">
        <v>30.0</v>
      </c>
      <c r="O17" s="138">
        <v>0.0</v>
      </c>
      <c r="P17" s="130">
        <v>71.0</v>
      </c>
      <c r="Q17" s="130">
        <v>279974.014336918</v>
      </c>
      <c r="R17" s="130">
        <f t="shared" si="1"/>
        <v>3943.295977</v>
      </c>
      <c r="S17" s="130">
        <f t="shared" si="2"/>
        <v>31546.36781</v>
      </c>
      <c r="T17" s="130">
        <v>0.0</v>
      </c>
      <c r="U17" s="130">
        <v>8875.0</v>
      </c>
      <c r="V17" s="130">
        <v>0.0</v>
      </c>
      <c r="W17" s="130">
        <v>0.0</v>
      </c>
      <c r="X17" s="130">
        <v>0.0</v>
      </c>
      <c r="Y17" s="130">
        <v>0.0</v>
      </c>
      <c r="Z17" s="130">
        <v>0.0</v>
      </c>
      <c r="AA17" s="130">
        <v>289000.0</v>
      </c>
    </row>
    <row r="18">
      <c r="B18" s="124"/>
      <c r="C18" s="146"/>
      <c r="D18" s="146"/>
      <c r="E18" s="124"/>
      <c r="F18" s="146"/>
      <c r="G18" s="125"/>
      <c r="H18" s="125"/>
      <c r="I18" s="125"/>
      <c r="J18" s="124"/>
      <c r="K18" s="125"/>
      <c r="L18" s="147">
        <v>744.0</v>
      </c>
      <c r="M18" s="147">
        <v>744.0</v>
      </c>
      <c r="N18" s="147">
        <v>744.0</v>
      </c>
      <c r="O18" s="147">
        <v>0.0</v>
      </c>
      <c r="P18" s="147">
        <v>2232.0</v>
      </c>
      <c r="Q18" s="147">
        <v>8863000.0</v>
      </c>
      <c r="R18" s="147"/>
      <c r="S18" s="147"/>
      <c r="T18" s="147">
        <v>450000.0</v>
      </c>
      <c r="U18" s="147">
        <v>279000.0</v>
      </c>
      <c r="V18" s="147">
        <v>650000.0</v>
      </c>
      <c r="W18" s="147">
        <v>435625.0</v>
      </c>
      <c r="X18" s="147">
        <v>0.0</v>
      </c>
      <c r="Y18" s="147">
        <v>290000.0</v>
      </c>
      <c r="Z18" s="147">
        <v>2017000.0</v>
      </c>
      <c r="AA18" s="147">
        <v>1.29885E7</v>
      </c>
    </row>
    <row r="21" ht="15.75" customHeight="1">
      <c r="B21" s="116"/>
      <c r="C21" s="116"/>
      <c r="D21" s="116"/>
      <c r="E21" s="116"/>
      <c r="F21" s="116"/>
      <c r="G21" s="116"/>
      <c r="H21" s="116"/>
      <c r="I21" s="116"/>
      <c r="J21" s="116"/>
      <c r="K21" s="148" t="s">
        <v>71</v>
      </c>
      <c r="L21" s="148" t="s">
        <v>72</v>
      </c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</row>
    <row r="22" ht="15.75" customHeight="1">
      <c r="B22" s="116"/>
      <c r="C22" s="116"/>
      <c r="D22" s="116"/>
      <c r="E22" s="116"/>
      <c r="F22" s="116"/>
      <c r="G22" s="116"/>
      <c r="H22" s="116"/>
      <c r="I22" s="116"/>
      <c r="J22" s="116"/>
      <c r="K22" s="116">
        <v>32000.0</v>
      </c>
      <c r="L22" s="116">
        <v>31000.0</v>
      </c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</row>
    <row r="23" ht="15.75" customHeight="1">
      <c r="B23" s="124" t="s">
        <v>1</v>
      </c>
      <c r="C23" s="124" t="s">
        <v>2</v>
      </c>
      <c r="D23" s="125" t="s">
        <v>3</v>
      </c>
      <c r="E23" s="124" t="s">
        <v>31</v>
      </c>
      <c r="F23" s="124" t="s">
        <v>73</v>
      </c>
      <c r="G23" s="124" t="s">
        <v>74</v>
      </c>
      <c r="H23" s="124" t="s">
        <v>7</v>
      </c>
      <c r="I23" s="124" t="s">
        <v>8</v>
      </c>
      <c r="J23" s="124" t="s">
        <v>9</v>
      </c>
      <c r="K23" s="124" t="s">
        <v>10</v>
      </c>
      <c r="L23" s="124" t="s">
        <v>11</v>
      </c>
      <c r="M23" s="124" t="s">
        <v>75</v>
      </c>
      <c r="N23" s="124" t="s">
        <v>12</v>
      </c>
      <c r="O23" s="124"/>
      <c r="P23" s="124" t="s">
        <v>13</v>
      </c>
      <c r="Q23" s="124"/>
      <c r="R23" s="124" t="s">
        <v>14</v>
      </c>
      <c r="S23" s="124" t="s">
        <v>15</v>
      </c>
      <c r="T23" s="124" t="s">
        <v>16</v>
      </c>
      <c r="U23" s="124" t="s">
        <v>58</v>
      </c>
      <c r="V23" s="124" t="s">
        <v>59</v>
      </c>
      <c r="W23" s="124" t="s">
        <v>4</v>
      </c>
      <c r="X23" s="124" t="s">
        <v>5</v>
      </c>
      <c r="Y23" s="124" t="s">
        <v>6</v>
      </c>
    </row>
    <row r="24" ht="15.75" customHeight="1">
      <c r="B24" s="126">
        <v>1.0</v>
      </c>
      <c r="C24" s="127" t="s">
        <v>60</v>
      </c>
      <c r="D24" s="149" t="s">
        <v>3</v>
      </c>
      <c r="E24" s="149">
        <v>4.0</v>
      </c>
      <c r="F24" s="149">
        <v>4.0</v>
      </c>
      <c r="G24" s="149">
        <v>2.0</v>
      </c>
      <c r="H24" s="149" t="s">
        <v>76</v>
      </c>
      <c r="I24" s="149"/>
      <c r="J24" s="149"/>
      <c r="K24" s="149"/>
      <c r="L24" s="149">
        <v>32.0</v>
      </c>
      <c r="M24" s="149">
        <f t="shared" ref="M24:M36" si="4">$K$22/8*L24</f>
        <v>128000</v>
      </c>
      <c r="N24" s="149">
        <v>10.0</v>
      </c>
      <c r="O24" s="149">
        <f t="shared" ref="O24:O36" si="5">$L$22/8*N24</f>
        <v>38750</v>
      </c>
      <c r="P24" s="149">
        <v>152.0</v>
      </c>
      <c r="Q24" s="149">
        <f t="shared" ref="Q24:Q36" si="6">$L$22/8*P24</f>
        <v>589000</v>
      </c>
      <c r="R24" s="149"/>
      <c r="S24" s="149">
        <f t="shared" ref="S24:T24" si="3">L24+N24+P24</f>
        <v>194</v>
      </c>
      <c r="T24" s="149">
        <f t="shared" si="3"/>
        <v>755750</v>
      </c>
      <c r="U24" s="149"/>
      <c r="V24" s="149"/>
      <c r="W24" s="149"/>
      <c r="X24" s="149"/>
      <c r="Y24" s="149"/>
    </row>
    <row r="25" ht="15.75" customHeight="1">
      <c r="B25" s="131">
        <v>2.0</v>
      </c>
      <c r="C25" s="132" t="s">
        <v>35</v>
      </c>
      <c r="D25" s="149"/>
      <c r="E25" s="149"/>
      <c r="F25" s="149"/>
      <c r="G25" s="149"/>
      <c r="H25" s="149"/>
      <c r="I25" s="149"/>
      <c r="J25" s="149"/>
      <c r="K25" s="149"/>
      <c r="L25" s="135">
        <v>16.0</v>
      </c>
      <c r="M25" s="149">
        <f t="shared" si="4"/>
        <v>64000</v>
      </c>
      <c r="N25" s="135">
        <v>59.0</v>
      </c>
      <c r="O25" s="149">
        <f t="shared" si="5"/>
        <v>228625</v>
      </c>
      <c r="P25" s="135">
        <v>40.0</v>
      </c>
      <c r="Q25" s="149">
        <f t="shared" si="6"/>
        <v>155000</v>
      </c>
      <c r="R25" s="149"/>
      <c r="S25" s="149">
        <f t="shared" ref="S25:T25" si="7">L25+N25+P25</f>
        <v>115</v>
      </c>
      <c r="T25" s="149">
        <f t="shared" si="7"/>
        <v>447625</v>
      </c>
      <c r="U25" s="149"/>
      <c r="V25" s="149"/>
      <c r="W25" s="149"/>
      <c r="X25" s="149"/>
      <c r="Y25" s="149"/>
    </row>
    <row r="26" ht="15.75" customHeight="1">
      <c r="B26" s="126">
        <v>3.0</v>
      </c>
      <c r="C26" s="128" t="s">
        <v>62</v>
      </c>
      <c r="D26" s="149"/>
      <c r="E26" s="149"/>
      <c r="F26" s="149"/>
      <c r="G26" s="149"/>
      <c r="H26" s="149"/>
      <c r="I26" s="149"/>
      <c r="J26" s="149"/>
      <c r="K26" s="149"/>
      <c r="L26" s="138">
        <v>202.0</v>
      </c>
      <c r="M26" s="149">
        <f t="shared" si="4"/>
        <v>808000</v>
      </c>
      <c r="N26" s="138">
        <v>6.0</v>
      </c>
      <c r="O26" s="149">
        <f t="shared" si="5"/>
        <v>23250</v>
      </c>
      <c r="P26" s="138">
        <v>8.0</v>
      </c>
      <c r="Q26" s="149">
        <f t="shared" si="6"/>
        <v>31000</v>
      </c>
      <c r="R26" s="149"/>
      <c r="S26" s="149">
        <f t="shared" ref="S26:T26" si="8">L26+N26+P26</f>
        <v>216</v>
      </c>
      <c r="T26" s="149">
        <f t="shared" si="8"/>
        <v>862250</v>
      </c>
      <c r="U26" s="149"/>
      <c r="V26" s="149"/>
      <c r="W26" s="149"/>
      <c r="X26" s="149"/>
      <c r="Y26" s="149"/>
    </row>
    <row r="27" ht="15.75" customHeight="1">
      <c r="B27" s="126">
        <v>4.0</v>
      </c>
      <c r="C27" s="127" t="s">
        <v>64</v>
      </c>
      <c r="D27" s="149"/>
      <c r="E27" s="149"/>
      <c r="F27" s="149"/>
      <c r="G27" s="149"/>
      <c r="H27" s="149"/>
      <c r="I27" s="149"/>
      <c r="J27" s="149"/>
      <c r="K27" s="149"/>
      <c r="L27" s="138">
        <v>0.0</v>
      </c>
      <c r="M27" s="149">
        <f t="shared" si="4"/>
        <v>0</v>
      </c>
      <c r="N27" s="138">
        <v>136.0</v>
      </c>
      <c r="O27" s="149">
        <f t="shared" si="5"/>
        <v>527000</v>
      </c>
      <c r="P27" s="138">
        <v>72.0</v>
      </c>
      <c r="Q27" s="149">
        <f t="shared" si="6"/>
        <v>279000</v>
      </c>
      <c r="R27" s="149"/>
      <c r="S27" s="149">
        <f t="shared" ref="S27:T27" si="9">L27+N27+P27</f>
        <v>208</v>
      </c>
      <c r="T27" s="149">
        <f t="shared" si="9"/>
        <v>806000</v>
      </c>
      <c r="U27" s="149"/>
      <c r="V27" s="149"/>
      <c r="W27" s="149"/>
      <c r="X27" s="149"/>
      <c r="Y27" s="149"/>
    </row>
    <row r="28" ht="15.75" customHeight="1">
      <c r="B28" s="139">
        <v>5.0</v>
      </c>
      <c r="C28" s="140" t="s">
        <v>65</v>
      </c>
      <c r="D28" s="149"/>
      <c r="E28" s="149"/>
      <c r="F28" s="149"/>
      <c r="G28" s="149"/>
      <c r="H28" s="149"/>
      <c r="I28" s="149"/>
      <c r="J28" s="149"/>
      <c r="K28" s="149"/>
      <c r="L28" s="142">
        <v>4.0</v>
      </c>
      <c r="M28" s="149">
        <f t="shared" si="4"/>
        <v>16000</v>
      </c>
      <c r="N28" s="142">
        <v>0.0</v>
      </c>
      <c r="O28" s="149">
        <f t="shared" si="5"/>
        <v>0</v>
      </c>
      <c r="P28" s="142">
        <v>109.0</v>
      </c>
      <c r="Q28" s="149">
        <f t="shared" si="6"/>
        <v>422375</v>
      </c>
      <c r="R28" s="149"/>
      <c r="S28" s="149">
        <f t="shared" ref="S28:T28" si="10">L28+N28+P28</f>
        <v>113</v>
      </c>
      <c r="T28" s="149">
        <f t="shared" si="10"/>
        <v>438375</v>
      </c>
      <c r="U28" s="149"/>
      <c r="V28" s="149"/>
      <c r="W28" s="149"/>
      <c r="X28" s="149"/>
      <c r="Y28" s="149"/>
    </row>
    <row r="29" ht="15.75" customHeight="1">
      <c r="B29" s="139">
        <v>6.0</v>
      </c>
      <c r="C29" s="144" t="s">
        <v>34</v>
      </c>
      <c r="D29" s="149"/>
      <c r="E29" s="149"/>
      <c r="F29" s="149"/>
      <c r="G29" s="149"/>
      <c r="H29" s="149"/>
      <c r="I29" s="149"/>
      <c r="J29" s="149"/>
      <c r="K29" s="149"/>
      <c r="L29" s="142">
        <v>0.0</v>
      </c>
      <c r="M29" s="149">
        <f t="shared" si="4"/>
        <v>0</v>
      </c>
      <c r="N29" s="142">
        <v>84.0</v>
      </c>
      <c r="O29" s="149">
        <f t="shared" si="5"/>
        <v>325500</v>
      </c>
      <c r="P29" s="142">
        <v>2.0</v>
      </c>
      <c r="Q29" s="149">
        <f t="shared" si="6"/>
        <v>7750</v>
      </c>
      <c r="R29" s="149"/>
      <c r="S29" s="149">
        <f t="shared" ref="S29:T29" si="11">L29+N29+P29</f>
        <v>86</v>
      </c>
      <c r="T29" s="149">
        <f t="shared" si="11"/>
        <v>333250</v>
      </c>
      <c r="U29" s="149"/>
      <c r="V29" s="149"/>
      <c r="W29" s="149"/>
      <c r="X29" s="149"/>
      <c r="Y29" s="149"/>
    </row>
    <row r="30" ht="15.75" customHeight="1">
      <c r="B30" s="139">
        <v>7.0</v>
      </c>
      <c r="C30" s="144" t="s">
        <v>66</v>
      </c>
      <c r="D30" s="149"/>
      <c r="E30" s="149"/>
      <c r="F30" s="149"/>
      <c r="G30" s="149"/>
      <c r="H30" s="149"/>
      <c r="I30" s="149"/>
      <c r="J30" s="149"/>
      <c r="K30" s="149"/>
      <c r="L30" s="142">
        <v>0.0</v>
      </c>
      <c r="M30" s="149">
        <f t="shared" si="4"/>
        <v>0</v>
      </c>
      <c r="N30" s="142">
        <v>134.0</v>
      </c>
      <c r="O30" s="149">
        <f t="shared" si="5"/>
        <v>519250</v>
      </c>
      <c r="P30" s="142">
        <v>11.0</v>
      </c>
      <c r="Q30" s="149">
        <f t="shared" si="6"/>
        <v>42625</v>
      </c>
      <c r="R30" s="149"/>
      <c r="S30" s="149">
        <f t="shared" ref="S30:T30" si="12">L30+N30+P30</f>
        <v>145</v>
      </c>
      <c r="T30" s="149">
        <f t="shared" si="12"/>
        <v>561875</v>
      </c>
      <c r="U30" s="149"/>
      <c r="V30" s="149"/>
      <c r="W30" s="149"/>
      <c r="X30" s="149"/>
      <c r="Y30" s="149"/>
    </row>
    <row r="31" ht="15.75" customHeight="1">
      <c r="B31" s="139">
        <v>8.0</v>
      </c>
      <c r="C31" s="144" t="s">
        <v>67</v>
      </c>
      <c r="D31" s="149"/>
      <c r="E31" s="149"/>
      <c r="F31" s="149"/>
      <c r="G31" s="149"/>
      <c r="H31" s="149"/>
      <c r="I31" s="149"/>
      <c r="J31" s="149"/>
      <c r="K31" s="149"/>
      <c r="L31" s="142">
        <v>41.0</v>
      </c>
      <c r="M31" s="149">
        <f t="shared" si="4"/>
        <v>164000</v>
      </c>
      <c r="N31" s="142">
        <v>8.0</v>
      </c>
      <c r="O31" s="149">
        <f t="shared" si="5"/>
        <v>31000</v>
      </c>
      <c r="P31" s="142">
        <v>135.0</v>
      </c>
      <c r="Q31" s="149">
        <f t="shared" si="6"/>
        <v>523125</v>
      </c>
      <c r="R31" s="149"/>
      <c r="S31" s="149">
        <f t="shared" ref="S31:T31" si="13">L31+N31+P31</f>
        <v>184</v>
      </c>
      <c r="T31" s="149">
        <f t="shared" si="13"/>
        <v>718125</v>
      </c>
      <c r="U31" s="149"/>
      <c r="V31" s="149"/>
      <c r="W31" s="149"/>
      <c r="X31" s="149"/>
      <c r="Y31" s="149"/>
    </row>
    <row r="32" ht="15.75" customHeight="1">
      <c r="B32" s="126">
        <v>9.0</v>
      </c>
      <c r="C32" s="128" t="s">
        <v>37</v>
      </c>
      <c r="D32" s="149"/>
      <c r="E32" s="149"/>
      <c r="F32" s="149"/>
      <c r="G32" s="149"/>
      <c r="H32" s="149"/>
      <c r="I32" s="149"/>
      <c r="J32" s="149"/>
      <c r="K32" s="149"/>
      <c r="L32" s="138">
        <v>0.0</v>
      </c>
      <c r="M32" s="149">
        <f t="shared" si="4"/>
        <v>0</v>
      </c>
      <c r="N32" s="138">
        <v>216.0</v>
      </c>
      <c r="O32" s="149">
        <f t="shared" si="5"/>
        <v>837000</v>
      </c>
      <c r="P32" s="138">
        <v>14.0</v>
      </c>
      <c r="Q32" s="149">
        <f t="shared" si="6"/>
        <v>54250</v>
      </c>
      <c r="R32" s="149"/>
      <c r="S32" s="149">
        <f t="shared" ref="S32:T32" si="14">L32+N32+P32</f>
        <v>230</v>
      </c>
      <c r="T32" s="149">
        <f t="shared" si="14"/>
        <v>891250</v>
      </c>
      <c r="U32" s="149"/>
      <c r="V32" s="149"/>
      <c r="W32" s="149"/>
      <c r="X32" s="149"/>
      <c r="Y32" s="149"/>
    </row>
    <row r="33" ht="15.75" customHeight="1">
      <c r="B33" s="126">
        <v>10.0</v>
      </c>
      <c r="C33" s="128" t="s">
        <v>68</v>
      </c>
      <c r="D33" s="149"/>
      <c r="E33" s="149"/>
      <c r="F33" s="149"/>
      <c r="G33" s="149"/>
      <c r="H33" s="149"/>
      <c r="I33" s="149"/>
      <c r="J33" s="149"/>
      <c r="K33" s="149"/>
      <c r="L33" s="138">
        <v>232.0</v>
      </c>
      <c r="M33" s="149">
        <f t="shared" si="4"/>
        <v>928000</v>
      </c>
      <c r="N33" s="138">
        <v>22.0</v>
      </c>
      <c r="O33" s="149">
        <f t="shared" si="5"/>
        <v>85250</v>
      </c>
      <c r="P33" s="138">
        <v>0.0</v>
      </c>
      <c r="Q33" s="149">
        <f t="shared" si="6"/>
        <v>0</v>
      </c>
      <c r="R33" s="149"/>
      <c r="S33" s="149">
        <f t="shared" ref="S33:T33" si="15">L33+N33+P33</f>
        <v>254</v>
      </c>
      <c r="T33" s="149">
        <f t="shared" si="15"/>
        <v>1013250</v>
      </c>
      <c r="U33" s="149"/>
      <c r="V33" s="149"/>
      <c r="W33" s="149"/>
      <c r="X33" s="149"/>
      <c r="Y33" s="149"/>
    </row>
    <row r="34" ht="15.75" customHeight="1">
      <c r="B34" s="126">
        <v>11.0</v>
      </c>
      <c r="C34" s="128" t="s">
        <v>69</v>
      </c>
      <c r="D34" s="149"/>
      <c r="E34" s="149"/>
      <c r="F34" s="149"/>
      <c r="G34" s="149"/>
      <c r="H34" s="149"/>
      <c r="I34" s="149"/>
      <c r="J34" s="149"/>
      <c r="K34" s="149"/>
      <c r="L34" s="138">
        <v>205.0</v>
      </c>
      <c r="M34" s="149">
        <f t="shared" si="4"/>
        <v>820000</v>
      </c>
      <c r="N34" s="138">
        <v>4.0</v>
      </c>
      <c r="O34" s="149">
        <f t="shared" si="5"/>
        <v>15500</v>
      </c>
      <c r="P34" s="138">
        <v>1.0</v>
      </c>
      <c r="Q34" s="149">
        <f t="shared" si="6"/>
        <v>3875</v>
      </c>
      <c r="R34" s="149"/>
      <c r="S34" s="149">
        <f t="shared" ref="S34:T34" si="16">L34+N34+P34</f>
        <v>210</v>
      </c>
      <c r="T34" s="149">
        <f t="shared" si="16"/>
        <v>839375</v>
      </c>
      <c r="U34" s="149"/>
      <c r="V34" s="149"/>
      <c r="W34" s="149"/>
      <c r="X34" s="149"/>
      <c r="Y34" s="149"/>
    </row>
    <row r="35" ht="15.75" customHeight="1">
      <c r="B35" s="126">
        <v>12.0</v>
      </c>
      <c r="C35" s="128" t="s">
        <v>25</v>
      </c>
      <c r="D35" s="149"/>
      <c r="E35" s="149"/>
      <c r="F35" s="149"/>
      <c r="G35" s="149"/>
      <c r="H35" s="149"/>
      <c r="I35" s="149"/>
      <c r="J35" s="149"/>
      <c r="K35" s="149"/>
      <c r="L35" s="138">
        <v>4.0</v>
      </c>
      <c r="M35" s="149">
        <f t="shared" si="4"/>
        <v>16000</v>
      </c>
      <c r="N35" s="138">
        <v>32.0</v>
      </c>
      <c r="O35" s="149">
        <f t="shared" si="5"/>
        <v>124000</v>
      </c>
      <c r="P35" s="138">
        <v>170.0</v>
      </c>
      <c r="Q35" s="149">
        <f t="shared" si="6"/>
        <v>658750</v>
      </c>
      <c r="R35" s="149"/>
      <c r="S35" s="149">
        <f t="shared" ref="S35:T35" si="17">L35+N35+P35</f>
        <v>206</v>
      </c>
      <c r="T35" s="149">
        <f t="shared" si="17"/>
        <v>798750</v>
      </c>
      <c r="U35" s="149"/>
      <c r="V35" s="149"/>
      <c r="W35" s="149"/>
      <c r="X35" s="149"/>
      <c r="Y35" s="149"/>
    </row>
    <row r="36" ht="15.75" customHeight="1">
      <c r="B36" s="126">
        <v>13.0</v>
      </c>
      <c r="C36" s="128" t="s">
        <v>70</v>
      </c>
      <c r="D36" s="149"/>
      <c r="E36" s="149"/>
      <c r="F36" s="149"/>
      <c r="G36" s="149"/>
      <c r="H36" s="149"/>
      <c r="I36" s="149"/>
      <c r="J36" s="149"/>
      <c r="K36" s="149"/>
      <c r="L36" s="138">
        <v>8.0</v>
      </c>
      <c r="M36" s="149">
        <f t="shared" si="4"/>
        <v>32000</v>
      </c>
      <c r="N36" s="138">
        <v>33.0</v>
      </c>
      <c r="O36" s="149">
        <f t="shared" si="5"/>
        <v>127875</v>
      </c>
      <c r="P36" s="138">
        <v>30.0</v>
      </c>
      <c r="Q36" s="149">
        <f t="shared" si="6"/>
        <v>116250</v>
      </c>
      <c r="R36" s="149"/>
      <c r="S36" s="149">
        <f t="shared" ref="S36:T36" si="18">L36+N36+P36</f>
        <v>71</v>
      </c>
      <c r="T36" s="149">
        <f t="shared" si="18"/>
        <v>276125</v>
      </c>
      <c r="U36" s="149"/>
      <c r="V36" s="149"/>
      <c r="W36" s="149"/>
      <c r="X36" s="149"/>
      <c r="Y36" s="149"/>
    </row>
    <row r="37" ht="15.75" customHeight="1">
      <c r="B37" s="124"/>
      <c r="C37" s="146"/>
      <c r="D37" s="150"/>
      <c r="E37" s="150"/>
      <c r="F37" s="150"/>
      <c r="G37" s="150"/>
      <c r="H37" s="150"/>
      <c r="I37" s="150"/>
      <c r="J37" s="150"/>
      <c r="K37" s="150"/>
      <c r="L37" s="150">
        <f t="shared" ref="L37:Q37" si="19">SUM(L24:L36)</f>
        <v>744</v>
      </c>
      <c r="M37" s="150">
        <f t="shared" si="19"/>
        <v>2976000</v>
      </c>
      <c r="N37" s="150">
        <f t="shared" si="19"/>
        <v>744</v>
      </c>
      <c r="O37" s="150">
        <f t="shared" si="19"/>
        <v>2883000</v>
      </c>
      <c r="P37" s="150">
        <f t="shared" si="19"/>
        <v>744</v>
      </c>
      <c r="Q37" s="150">
        <f t="shared" si="19"/>
        <v>2883000</v>
      </c>
      <c r="R37" s="150"/>
      <c r="S37" s="150">
        <f t="shared" ref="S37:T37" si="20">SUM(S24:S36)</f>
        <v>2232</v>
      </c>
      <c r="T37" s="150">
        <f t="shared" si="20"/>
        <v>8742000</v>
      </c>
      <c r="U37" s="150"/>
      <c r="V37" s="150"/>
      <c r="W37" s="150"/>
      <c r="X37" s="150"/>
      <c r="Y37" s="150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8" width="9.0"/>
    <col customWidth="1" min="9" max="9" width="18.14"/>
    <col customWidth="1" min="10" max="26" width="9.0"/>
  </cols>
  <sheetData>
    <row r="1">
      <c r="A1" s="14" t="s">
        <v>77</v>
      </c>
    </row>
    <row r="2">
      <c r="A2" s="14" t="s">
        <v>78</v>
      </c>
      <c r="B2" s="14" t="s">
        <v>79</v>
      </c>
      <c r="F2" s="14" t="s">
        <v>80</v>
      </c>
      <c r="I2" s="14" t="s">
        <v>81</v>
      </c>
      <c r="J2" s="14" t="s">
        <v>82</v>
      </c>
    </row>
    <row r="3">
      <c r="A3" s="14">
        <v>40000.0</v>
      </c>
      <c r="B3" s="14">
        <v>39000.0</v>
      </c>
      <c r="F3" s="14">
        <v>0.0</v>
      </c>
      <c r="I3" s="151">
        <f>Sheet1!B3</f>
        <v>46113</v>
      </c>
    </row>
    <row r="4">
      <c r="I4" s="152">
        <f>EOMONTH(I3,0)</f>
        <v>46142</v>
      </c>
      <c r="J4" s="14">
        <v>2.0</v>
      </c>
    </row>
    <row r="6">
      <c r="A6" s="14">
        <v>33000.0</v>
      </c>
      <c r="B6" s="14">
        <v>32000.0</v>
      </c>
    </row>
    <row r="10">
      <c r="A10" s="14">
        <f>A3*1.5</f>
        <v>60000</v>
      </c>
    </row>
    <row r="11">
      <c r="A11" s="14">
        <f>A10-A3</f>
        <v>20000</v>
      </c>
    </row>
    <row r="12">
      <c r="A12" s="153">
        <f>A11/8</f>
        <v>2500</v>
      </c>
      <c r="B12" s="153" t="s">
        <v>83</v>
      </c>
      <c r="C12" s="153"/>
      <c r="D12" s="153"/>
      <c r="E12" s="15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2022-07-05T15:57:00Z</dcterms:created>
  <dc:creator>acer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8C6D8E10CC9F4707959DEB79809002C5_12</vt:lpwstr>
  </property>
  <property fmtid="{D5CDD505-2E9C-101B-9397-08002B2CF9AE}" pid="3" name="KSOProductBuildVer">
    <vt:lpwstr>1033-12.2.0.23196</vt:lpwstr>
  </property>
</Properties>
</file>