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7" i="1"/>
  <c r="S9"/>
  <c r="S10"/>
  <c r="S11"/>
  <c r="S12"/>
  <c r="S13"/>
  <c r="S14"/>
  <c r="Y8"/>
  <c r="Y13"/>
  <c r="Y6"/>
  <c r="Y7"/>
  <c r="Y9"/>
  <c r="Y10"/>
  <c r="Y11"/>
  <c r="Y12"/>
  <c r="Y14"/>
  <c r="Q6"/>
  <c r="Q7"/>
  <c r="Q8"/>
  <c r="Q9"/>
  <c r="Q10"/>
  <c r="Q11"/>
  <c r="Q12"/>
  <c r="Q13"/>
  <c r="Q14"/>
  <c r="P6"/>
  <c r="P7"/>
  <c r="AD7" s="1"/>
  <c r="P8"/>
  <c r="P9"/>
  <c r="P10"/>
  <c r="P11"/>
  <c r="P12"/>
  <c r="P13"/>
  <c r="P14"/>
  <c r="AL12"/>
  <c r="F27"/>
  <c r="U10"/>
  <c r="U13"/>
  <c r="V7"/>
  <c r="V8"/>
  <c r="V9"/>
  <c r="V10"/>
  <c r="V11"/>
  <c r="V13"/>
  <c r="V14"/>
  <c r="AD8"/>
  <c r="U9"/>
  <c r="AD10"/>
  <c r="AD11"/>
  <c r="AD13"/>
  <c r="AD14"/>
  <c r="P5"/>
  <c r="U8" l="1"/>
  <c r="U14"/>
  <c r="U11"/>
  <c r="U7"/>
  <c r="AD9"/>
  <c r="U5"/>
  <c r="P15" l="1"/>
  <c r="S15" s="1"/>
  <c r="P16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9" i="1"/>
  <c r="X26"/>
  <c r="X27" s="1"/>
  <c r="Y27" s="1"/>
  <c r="W18"/>
  <c r="AK17"/>
  <c r="AH17"/>
  <c r="X17"/>
  <c r="O17"/>
  <c r="N17"/>
  <c r="M17"/>
  <c r="L17"/>
  <c r="J17"/>
  <c r="AL16"/>
  <c r="AE16"/>
  <c r="W16"/>
  <c r="V16"/>
  <c r="U16"/>
  <c r="T16"/>
  <c r="R16"/>
  <c r="AO15"/>
  <c r="AL15"/>
  <c r="W15"/>
  <c r="V15"/>
  <c r="U15"/>
  <c r="T15"/>
  <c r="R15"/>
  <c r="AO14"/>
  <c r="AL14"/>
  <c r="AI14"/>
  <c r="W14"/>
  <c r="T14"/>
  <c r="R14"/>
  <c r="AO13"/>
  <c r="AL13"/>
  <c r="AI13"/>
  <c r="W13"/>
  <c r="T13"/>
  <c r="R13"/>
  <c r="AO11"/>
  <c r="AL11"/>
  <c r="AI11"/>
  <c r="W11"/>
  <c r="T11"/>
  <c r="R11"/>
  <c r="AO10"/>
  <c r="AL10"/>
  <c r="AI10"/>
  <c r="W10"/>
  <c r="T10"/>
  <c r="R10"/>
  <c r="AO9"/>
  <c r="AL9"/>
  <c r="AI9"/>
  <c r="T9"/>
  <c r="R9"/>
  <c r="AO8"/>
  <c r="AL8"/>
  <c r="AI8"/>
  <c r="W8"/>
  <c r="R8"/>
  <c r="W7"/>
  <c r="T7"/>
  <c r="R7"/>
  <c r="AO5"/>
  <c r="AL5"/>
  <c r="AI5"/>
  <c r="W5"/>
  <c r="V5"/>
  <c r="T5"/>
  <c r="R5"/>
  <c r="T17" l="1"/>
  <c r="AG13"/>
  <c r="AG14"/>
  <c r="AG10"/>
  <c r="AI17"/>
  <c r="W17"/>
  <c r="Y26"/>
  <c r="V17"/>
  <c r="AG8"/>
  <c r="AG11"/>
  <c r="R17"/>
  <c r="AF8"/>
  <c r="AF11"/>
  <c r="AF14"/>
  <c r="P17"/>
  <c r="F30" s="1"/>
  <c r="F31" s="1"/>
  <c r="L20"/>
  <c r="L18"/>
  <c r="E23" s="1"/>
  <c r="T26" i="3"/>
  <c r="T37" s="1"/>
  <c r="AD5" i="1"/>
  <c r="AD15"/>
  <c r="AF13" l="1"/>
  <c r="AF10"/>
  <c r="S17"/>
  <c r="U17"/>
  <c r="Q5"/>
  <c r="Y5" s="1"/>
  <c r="Q16"/>
  <c r="Y16" s="1"/>
  <c r="Q15"/>
  <c r="Y15" s="1"/>
  <c r="AG9"/>
  <c r="AF9"/>
  <c r="AG5"/>
  <c r="AF5"/>
  <c r="AE15"/>
  <c r="AF15" s="1"/>
  <c r="Q17" l="1"/>
  <c r="Y17" s="1"/>
</calcChain>
</file>

<file path=xl/sharedStrings.xml><?xml version="1.0" encoding="utf-8"?>
<sst xmlns="http://schemas.openxmlformats.org/spreadsheetml/2006/main" count="215" uniqueCount="85">
  <si>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</si>
  <si>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</si>
  <si>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</si>
  <si>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</si>
  <si>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</si>
  <si>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</si>
  <si>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</si>
  <si>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</si>
  <si>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</si>
  <si>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</si>
  <si>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</si>
  <si>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</si>
  <si>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</si>
  <si>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</si>
  <si>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</si>
  <si>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</si>
  <si>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</si>
  <si>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</si>
  <si>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</si>
  <si>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</si>
  <si>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</si>
  <si>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</si>
  <si>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</si>
  <si>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</si>
  <si>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</si>
  <si>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</si>
  <si>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</si>
  <si>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</si>
  <si>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</si>
  <si>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</si>
  <si>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</si>
  <si>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</si>
  <si>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</si>
  <si>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</si>
  <si>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</si>
  <si>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</si>
  <si>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</si>
  <si>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</si>
  <si>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</si>
  <si>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</si>
  <si>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</si>
  <si>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</si>
  <si>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</si>
  <si>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</si>
  <si>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</si>
  <si>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</si>
  <si>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</si>
  <si>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Reza</t>
  </si>
  <si>
    <t>Rekap Lulus PK</t>
  </si>
  <si>
    <t>1x Agus 24</t>
  </si>
  <si>
    <t>1x Okto 24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</si>
  <si>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</si>
  <si>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</si>
  <si>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</si>
  <si>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</si>
  <si>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</si>
  <si>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</si>
  <si>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</si>
  <si>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</si>
  <si>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</si>
  <si>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</si>
  <si>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</si>
  <si>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</si>
  <si>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</si>
  <si>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</si>
  <si>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</si>
  <si>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</si>
  <si>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</si>
  <si>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</si>
  <si>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</si>
  <si>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</si>
  <si>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</si>
  <si>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</si>
  <si>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</si>
  <si>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</si>
  <si>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</si>
  <si>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</si>
  <si>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</si>
  <si>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</si>
  <si>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11 Juli 2024</t>
  </si>
  <si>
    <t>Firman</t>
  </si>
  <si>
    <t>Ririn</t>
  </si>
  <si>
    <t>telat</t>
  </si>
  <si>
    <t>mepet</t>
  </si>
  <si>
    <t>telat meeting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</si>
</sst>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3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color theme="4" tint="-0.499984740745262"/>
      <name val="Verdana"/>
      <family val="2"/>
    </font>
    <font>
      <sz val="12"/>
      <color rgb="FF1F396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9" fillId="6" borderId="1" xfId="2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9" fontId="25" fillId="6" borderId="1" xfId="1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 wrapText="1"/>
    </xf>
    <xf numFmtId="0" fontId="30" fillId="6" borderId="1" xfId="0" applyFont="1" applyFill="1" applyBorder="1" applyAlignment="1">
      <alignment horizontal="right" vertical="center"/>
    </xf>
    <xf numFmtId="164" fontId="32" fillId="5" borderId="1" xfId="2" applyFont="1" applyFill="1" applyBorder="1" applyAlignment="1">
      <alignment horizontal="center" vertical="center"/>
    </xf>
    <xf numFmtId="164" fontId="25" fillId="3" borderId="14" xfId="2" applyFont="1" applyFill="1" applyBorder="1" applyAlignment="1">
      <alignment horizontal="right" vertical="center" wrapText="1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A2" sqref="A2:P18"/>
    </sheetView>
  </sheetViews>
  <sheetFormatPr defaultColWidth="10" defaultRowHeight="15"/>
  <cols>
    <col min="2" max="2" width="4.7109375" customWidth="1"/>
    <col min="3" max="3" width="19.42578125" customWidth="1"/>
    <col min="4" max="4" width="16.28515625" customWidth="1"/>
    <col min="5" max="5" width="24.140625" customWidth="1"/>
    <col min="6" max="6" width="12.85546875" customWidth="1"/>
    <col min="7" max="7" width="8.85546875" customWidth="1"/>
    <col min="8" max="8" width="12.5703125" customWidth="1"/>
    <col min="9" max="9" width="9" customWidth="1"/>
    <col min="10" max="10" width="11.140625" customWidth="1"/>
    <col min="11" max="11" width="10.28515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9.1406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4">
        <v>46023</v>
      </c>
      <c r="C3" s="154"/>
      <c r="D3" s="154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45">
      <c r="A4" s="37"/>
      <c r="B4" s="97" t="s">
        <v>1</v>
      </c>
      <c r="C4" s="98" t="s">
        <v>2</v>
      </c>
      <c r="D4" s="99" t="s">
        <v>3</v>
      </c>
      <c r="E4" s="98" t="s">
        <v>4</v>
      </c>
      <c r="F4" s="98" t="s">
        <v>5</v>
      </c>
      <c r="G4" s="98" t="s">
        <v>6</v>
      </c>
      <c r="H4" s="98" t="s">
        <v>7</v>
      </c>
      <c r="I4" s="98" t="s">
        <v>8</v>
      </c>
      <c r="J4" s="98" t="s">
        <v>9</v>
      </c>
      <c r="K4" s="98" t="s">
        <v>10</v>
      </c>
      <c r="L4" s="98" t="s">
        <v>11</v>
      </c>
      <c r="M4" s="98" t="s">
        <v>12</v>
      </c>
      <c r="N4" s="98" t="s">
        <v>13</v>
      </c>
      <c r="O4" s="98" t="s">
        <v>14</v>
      </c>
      <c r="P4" s="98" t="s">
        <v>15</v>
      </c>
      <c r="Q4" s="98" t="s">
        <v>16</v>
      </c>
      <c r="R4" s="98" t="s">
        <v>4</v>
      </c>
      <c r="S4" s="98" t="s">
        <v>5</v>
      </c>
      <c r="T4" s="98" t="s">
        <v>6</v>
      </c>
      <c r="U4" s="98" t="s">
        <v>17</v>
      </c>
      <c r="V4" s="98" t="s">
        <v>18</v>
      </c>
      <c r="W4" s="98" t="s">
        <v>19</v>
      </c>
      <c r="X4" s="98" t="s">
        <v>20</v>
      </c>
      <c r="Y4" s="100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5" t="s">
        <v>22</v>
      </c>
      <c r="AI4" s="156"/>
      <c r="AK4" s="1" t="s">
        <v>24</v>
      </c>
    </row>
    <row r="5" spans="1:42" s="34" customFormat="1" ht="24.75" customHeight="1">
      <c r="A5" s="39"/>
      <c r="B5" s="101">
        <v>1</v>
      </c>
      <c r="C5" s="103" t="s">
        <v>27</v>
      </c>
      <c r="D5" s="102" t="s">
        <v>3</v>
      </c>
      <c r="E5" s="103" t="s">
        <v>84</v>
      </c>
      <c r="F5" s="103" t="s">
        <v>83</v>
      </c>
      <c r="G5" s="103">
        <v>1</v>
      </c>
      <c r="H5" s="103"/>
      <c r="I5" s="149" t="s">
        <v>29</v>
      </c>
      <c r="J5" s="103"/>
      <c r="K5" s="141"/>
      <c r="L5" s="143">
        <v>35</v>
      </c>
      <c r="M5" s="143">
        <v>72</v>
      </c>
      <c r="N5" s="144">
        <v>119</v>
      </c>
      <c r="O5" s="143"/>
      <c r="P5" s="130">
        <f>SUM(L5:O5)</f>
        <v>226</v>
      </c>
      <c r="Q5" s="105">
        <f>((data!$A$3/8)*L5)+((data!$B$3/8)*(M5+N5+O5))+(P5*$E$23)</f>
        <v>1106125</v>
      </c>
      <c r="R5" s="105">
        <f t="shared" ref="R5:R16" si="0">IF(D5="Percobaan",0,IF(AND(E5="",G5&gt;0,H5="ok"),100000,IF(AND(E5="",G5&gt;0,H5=""),50000,IF(AND(E5=""),100000,0))))</f>
        <v>0</v>
      </c>
      <c r="S5" s="105"/>
      <c r="T5" s="106">
        <f t="shared" ref="T5:T16" si="1">IF(AND(G5&gt;0,H5=""),50000,IF(AND(G5&gt;0,H5="ok"),G5*50000,0))</f>
        <v>50000</v>
      </c>
      <c r="U5" s="105">
        <f t="shared" ref="U5:U16" si="2">IF(OR(D5="Percobaan",D5=""),0,IF(I5="+",P5/8*3000,IF(I5="-",0,P5/8*2000)))</f>
        <v>84750</v>
      </c>
      <c r="V5" s="107">
        <f>J5*-12500</f>
        <v>0</v>
      </c>
      <c r="W5" s="105">
        <f t="shared" ref="W5:W16" si="3">IF(K5="ok",50000+AA5,0+AA5)</f>
        <v>0</v>
      </c>
      <c r="X5" s="140">
        <v>400</v>
      </c>
      <c r="Y5" s="108">
        <f>CEILING(SUM(Q5:X5),500)</f>
        <v>1241500</v>
      </c>
      <c r="Z5" s="77"/>
      <c r="AA5" s="77"/>
      <c r="AB5" s="77"/>
      <c r="AC5" s="77"/>
      <c r="AD5" s="35">
        <f t="shared" ref="AD5:AD15" si="4">P5/8</f>
        <v>28.25</v>
      </c>
      <c r="AE5" s="77"/>
      <c r="AF5" s="77">
        <f t="shared" ref="AF5:AF10" si="5">AD5-AE5</f>
        <v>28.25</v>
      </c>
      <c r="AG5" s="77">
        <f>AD5+AI5</f>
        <v>39.25</v>
      </c>
      <c r="AH5" s="84">
        <v>88</v>
      </c>
      <c r="AI5" s="77">
        <f>AH5/8</f>
        <v>11</v>
      </c>
      <c r="AK5" s="85">
        <v>1037500</v>
      </c>
      <c r="AL5" s="34" t="str">
        <f>C5</f>
        <v>Arif</v>
      </c>
      <c r="AN5" s="86"/>
      <c r="AO5" s="34">
        <f>AN5*AM5</f>
        <v>0</v>
      </c>
    </row>
    <row r="6" spans="1:42" s="34" customFormat="1" ht="24.75" customHeight="1">
      <c r="A6" s="39"/>
      <c r="B6" s="101">
        <v>2</v>
      </c>
      <c r="C6" s="103" t="s">
        <v>80</v>
      </c>
      <c r="D6" s="102" t="s">
        <v>25</v>
      </c>
      <c r="E6" s="103"/>
      <c r="F6" s="103"/>
      <c r="G6" s="103"/>
      <c r="H6" s="103"/>
      <c r="I6" s="104" t="s">
        <v>26</v>
      </c>
      <c r="J6" s="103"/>
      <c r="K6" s="141"/>
      <c r="L6" s="143"/>
      <c r="M6" s="143"/>
      <c r="N6" s="144">
        <v>16</v>
      </c>
      <c r="O6" s="143"/>
      <c r="P6" s="130">
        <f t="shared" ref="P6:P14" si="6">SUM(L6:O6)</f>
        <v>16</v>
      </c>
      <c r="Q6" s="105">
        <f>((data!$A$3/8)*L6)+((data!$B$3/8)*(M6+N6+O6))+(P6*$E$23)</f>
        <v>78000</v>
      </c>
      <c r="R6" s="105"/>
      <c r="S6" s="105"/>
      <c r="T6" s="106"/>
      <c r="U6" s="105"/>
      <c r="V6" s="107"/>
      <c r="W6" s="105">
        <v>90000</v>
      </c>
      <c r="X6" s="140">
        <v>400</v>
      </c>
      <c r="Y6" s="108">
        <f t="shared" ref="Y6:Y14" si="7">CEILING(SUM(Q6:X6),500)</f>
        <v>168500</v>
      </c>
      <c r="Z6" s="77"/>
      <c r="AA6" s="77"/>
      <c r="AB6" s="77"/>
      <c r="AC6" s="77"/>
      <c r="AD6" s="35"/>
      <c r="AE6" s="77"/>
      <c r="AF6" s="77"/>
      <c r="AG6" s="77"/>
      <c r="AH6" s="84"/>
      <c r="AI6" s="77"/>
      <c r="AK6" s="85"/>
      <c r="AN6" s="86"/>
    </row>
    <row r="7" spans="1:42" s="34" customFormat="1" ht="24" customHeight="1">
      <c r="A7" s="39"/>
      <c r="B7" s="101">
        <v>3</v>
      </c>
      <c r="C7" s="103" t="s">
        <v>30</v>
      </c>
      <c r="D7" s="102" t="s">
        <v>3</v>
      </c>
      <c r="E7" s="103"/>
      <c r="F7" s="102"/>
      <c r="G7" s="102">
        <v>1</v>
      </c>
      <c r="H7" s="102"/>
      <c r="I7" s="104" t="s">
        <v>26</v>
      </c>
      <c r="J7" s="103"/>
      <c r="K7" s="102"/>
      <c r="L7" s="145">
        <v>7</v>
      </c>
      <c r="M7" s="144">
        <v>24</v>
      </c>
      <c r="N7" s="144">
        <v>32</v>
      </c>
      <c r="O7" s="146">
        <v>128</v>
      </c>
      <c r="P7" s="130">
        <f t="shared" si="6"/>
        <v>191</v>
      </c>
      <c r="Q7" s="105">
        <f>((data!$A$3/8)*L7)+((data!$B$3/8)*(M7+N7+O7))+(P7*$E$23)</f>
        <v>932000</v>
      </c>
      <c r="R7" s="105">
        <f t="shared" si="0"/>
        <v>50000</v>
      </c>
      <c r="S7" s="105">
        <f t="shared" ref="S7:S15" si="8">((P7/8)*1000)</f>
        <v>23875</v>
      </c>
      <c r="T7" s="106">
        <f t="shared" si="1"/>
        <v>50000</v>
      </c>
      <c r="U7" s="105">
        <f t="shared" si="2"/>
        <v>0</v>
      </c>
      <c r="V7" s="107">
        <f t="shared" ref="V7:V14" si="9">J7*-12500</f>
        <v>0</v>
      </c>
      <c r="W7" s="105">
        <f t="shared" si="3"/>
        <v>0</v>
      </c>
      <c r="X7" s="140">
        <v>4800</v>
      </c>
      <c r="Y7" s="108">
        <f t="shared" si="7"/>
        <v>1061000</v>
      </c>
      <c r="Z7" s="77"/>
      <c r="AA7" s="77"/>
      <c r="AB7" s="77"/>
      <c r="AC7" s="77"/>
      <c r="AD7" s="35">
        <f t="shared" si="4"/>
        <v>23.875</v>
      </c>
      <c r="AE7" s="77"/>
      <c r="AF7" s="77"/>
      <c r="AG7" s="77"/>
      <c r="AH7" s="84"/>
      <c r="AI7" s="77"/>
      <c r="AK7" s="85"/>
      <c r="AN7" s="86"/>
    </row>
    <row r="8" spans="1:42" s="34" customFormat="1" ht="21" customHeight="1">
      <c r="A8" s="39"/>
      <c r="B8" s="101">
        <v>4</v>
      </c>
      <c r="C8" s="102" t="s">
        <v>33</v>
      </c>
      <c r="D8" s="102" t="s">
        <v>3</v>
      </c>
      <c r="E8" s="103" t="s">
        <v>82</v>
      </c>
      <c r="F8" s="103" t="s">
        <v>83</v>
      </c>
      <c r="G8" s="102">
        <v>4</v>
      </c>
      <c r="H8" s="102" t="s">
        <v>31</v>
      </c>
      <c r="I8" s="104" t="s">
        <v>26</v>
      </c>
      <c r="J8" s="103"/>
      <c r="K8" s="102"/>
      <c r="L8" s="146"/>
      <c r="M8" s="146">
        <v>64</v>
      </c>
      <c r="N8" s="144">
        <v>126</v>
      </c>
      <c r="O8" s="146"/>
      <c r="P8" s="130">
        <f t="shared" si="6"/>
        <v>190</v>
      </c>
      <c r="Q8" s="105">
        <f>((data!$A$3/8)*L8)+((data!$B$3/8)*(M8+N8+O8))+(P8*$E$23)</f>
        <v>926250</v>
      </c>
      <c r="R8" s="105">
        <f t="shared" si="0"/>
        <v>0</v>
      </c>
      <c r="S8" s="105"/>
      <c r="T8" s="106"/>
      <c r="U8" s="105">
        <f t="shared" si="2"/>
        <v>0</v>
      </c>
      <c r="V8" s="107">
        <f t="shared" si="9"/>
        <v>0</v>
      </c>
      <c r="W8" s="105">
        <f t="shared" si="3"/>
        <v>0</v>
      </c>
      <c r="X8" s="140">
        <v>23600</v>
      </c>
      <c r="Y8" s="108">
        <f t="shared" si="7"/>
        <v>950000</v>
      </c>
      <c r="Z8" s="77"/>
      <c r="AA8" s="77"/>
      <c r="AB8" s="77"/>
      <c r="AC8" s="77"/>
      <c r="AD8" s="35">
        <f t="shared" si="4"/>
        <v>23.75</v>
      </c>
      <c r="AE8" s="77"/>
      <c r="AF8" s="77">
        <f t="shared" si="5"/>
        <v>23.75</v>
      </c>
      <c r="AG8" s="77">
        <f t="shared" ref="AG8:AG14" si="10">AD8+AI8</f>
        <v>23.75</v>
      </c>
      <c r="AH8" s="87"/>
      <c r="AI8" s="77">
        <f t="shared" ref="AI8:AI14" si="11">AH8/8</f>
        <v>0</v>
      </c>
      <c r="AK8" s="85">
        <v>637500</v>
      </c>
      <c r="AL8" s="34" t="str">
        <f t="shared" ref="AL8:AL16" si="12">C8</f>
        <v>Henbediona</v>
      </c>
      <c r="AN8" s="86"/>
      <c r="AO8" s="34">
        <f t="shared" ref="AO8:AO15" si="13">AN8*AM8</f>
        <v>0</v>
      </c>
    </row>
    <row r="9" spans="1:42" s="35" customFormat="1" ht="20.25" customHeight="1">
      <c r="A9" s="40"/>
      <c r="B9" s="101">
        <v>5</v>
      </c>
      <c r="C9" s="102" t="s">
        <v>54</v>
      </c>
      <c r="D9" s="102" t="s">
        <v>25</v>
      </c>
      <c r="E9" s="103" t="s">
        <v>55</v>
      </c>
      <c r="F9" s="102"/>
      <c r="G9" s="102"/>
      <c r="H9" s="102"/>
      <c r="I9" s="104" t="s">
        <v>26</v>
      </c>
      <c r="J9" s="103"/>
      <c r="K9" s="142"/>
      <c r="L9" s="146">
        <v>93</v>
      </c>
      <c r="M9" s="144">
        <v>16</v>
      </c>
      <c r="N9" s="146">
        <v>36</v>
      </c>
      <c r="O9" s="146"/>
      <c r="P9" s="130">
        <f t="shared" si="6"/>
        <v>145</v>
      </c>
      <c r="Q9" s="105">
        <f>((data!$A$3/8)*L9)+((data!$B$3/8)*(M9+N9+O9))+(P9*$E$23)</f>
        <v>718500</v>
      </c>
      <c r="R9" s="105">
        <f t="shared" si="0"/>
        <v>0</v>
      </c>
      <c r="S9" s="105">
        <f t="shared" si="8"/>
        <v>18125</v>
      </c>
      <c r="T9" s="106">
        <f t="shared" si="1"/>
        <v>0</v>
      </c>
      <c r="U9" s="105">
        <f t="shared" si="2"/>
        <v>0</v>
      </c>
      <c r="V9" s="107">
        <f t="shared" si="9"/>
        <v>0</v>
      </c>
      <c r="W9" s="105"/>
      <c r="X9" s="140"/>
      <c r="Y9" s="108">
        <f t="shared" si="7"/>
        <v>737000</v>
      </c>
      <c r="Z9" s="77"/>
      <c r="AA9" s="77"/>
      <c r="AB9" s="77"/>
      <c r="AC9" s="77"/>
      <c r="AD9" s="35">
        <f t="shared" si="4"/>
        <v>18.125</v>
      </c>
      <c r="AE9" s="77"/>
      <c r="AF9" s="77">
        <f t="shared" si="5"/>
        <v>18.125</v>
      </c>
      <c r="AG9" s="77">
        <f t="shared" si="10"/>
        <v>20.125</v>
      </c>
      <c r="AH9" s="87">
        <v>16</v>
      </c>
      <c r="AI9" s="77">
        <f t="shared" si="11"/>
        <v>2</v>
      </c>
      <c r="AJ9" s="77"/>
      <c r="AK9" s="88">
        <v>398500</v>
      </c>
      <c r="AL9" s="77" t="str">
        <f t="shared" si="12"/>
        <v>Iman</v>
      </c>
      <c r="AM9" s="77"/>
      <c r="AN9" s="89"/>
      <c r="AO9" s="77">
        <f t="shared" si="13"/>
        <v>0</v>
      </c>
      <c r="AP9" s="77"/>
    </row>
    <row r="10" spans="1:42" s="34" customFormat="1" ht="27" customHeight="1">
      <c r="A10" s="39"/>
      <c r="B10" s="101">
        <v>6</v>
      </c>
      <c r="C10" s="103" t="s">
        <v>34</v>
      </c>
      <c r="D10" s="102" t="s">
        <v>25</v>
      </c>
      <c r="E10" s="103" t="s">
        <v>55</v>
      </c>
      <c r="F10" s="102"/>
      <c r="G10" s="102"/>
      <c r="H10" s="102"/>
      <c r="I10" s="149" t="s">
        <v>29</v>
      </c>
      <c r="J10" s="103"/>
      <c r="K10" s="142"/>
      <c r="L10" s="144">
        <v>128</v>
      </c>
      <c r="M10" s="146">
        <v>28</v>
      </c>
      <c r="N10" s="144">
        <v>97</v>
      </c>
      <c r="O10" s="146"/>
      <c r="P10" s="130">
        <f t="shared" si="6"/>
        <v>253</v>
      </c>
      <c r="Q10" s="105">
        <f>((data!$A$3/8)*L10)+((data!$B$3/8)*(M10+N10+O10))+(P10*$E$23)</f>
        <v>1249375</v>
      </c>
      <c r="R10" s="105">
        <f t="shared" si="0"/>
        <v>0</v>
      </c>
      <c r="S10" s="105">
        <f t="shared" si="8"/>
        <v>31625</v>
      </c>
      <c r="T10" s="106">
        <f t="shared" si="1"/>
        <v>0</v>
      </c>
      <c r="U10" s="105">
        <f t="shared" si="2"/>
        <v>0</v>
      </c>
      <c r="V10" s="107">
        <f t="shared" si="9"/>
        <v>0</v>
      </c>
      <c r="W10" s="105">
        <f t="shared" si="3"/>
        <v>0</v>
      </c>
      <c r="X10" s="140">
        <v>800</v>
      </c>
      <c r="Y10" s="108">
        <f t="shared" si="7"/>
        <v>1282000</v>
      </c>
      <c r="AD10" s="35">
        <f t="shared" si="4"/>
        <v>31.625</v>
      </c>
      <c r="AE10" s="77"/>
      <c r="AF10" s="77">
        <f t="shared" si="5"/>
        <v>31.625</v>
      </c>
      <c r="AG10" s="77">
        <f t="shared" si="10"/>
        <v>36.625</v>
      </c>
      <c r="AH10" s="87">
        <v>40</v>
      </c>
      <c r="AI10" s="77">
        <f t="shared" si="11"/>
        <v>5</v>
      </c>
      <c r="AK10" s="85">
        <v>1120500</v>
      </c>
      <c r="AL10" s="34" t="str">
        <f t="shared" si="12"/>
        <v>Ridwan</v>
      </c>
      <c r="AN10" s="86"/>
      <c r="AO10" s="34">
        <f t="shared" si="13"/>
        <v>0</v>
      </c>
    </row>
    <row r="11" spans="1:42" s="36" customFormat="1" ht="26.1" customHeight="1">
      <c r="A11" s="41"/>
      <c r="B11" s="101">
        <v>7</v>
      </c>
      <c r="C11" s="103" t="s">
        <v>35</v>
      </c>
      <c r="D11" s="102" t="s">
        <v>3</v>
      </c>
      <c r="E11" s="103"/>
      <c r="F11" s="102"/>
      <c r="G11" s="102">
        <v>3</v>
      </c>
      <c r="H11" s="102" t="s">
        <v>31</v>
      </c>
      <c r="I11" s="149" t="s">
        <v>29</v>
      </c>
      <c r="J11" s="103"/>
      <c r="K11" s="102" t="s">
        <v>31</v>
      </c>
      <c r="L11" s="144">
        <v>216</v>
      </c>
      <c r="M11" s="144">
        <v>11</v>
      </c>
      <c r="N11" s="145"/>
      <c r="O11" s="145"/>
      <c r="P11" s="130">
        <f t="shared" si="6"/>
        <v>227</v>
      </c>
      <c r="Q11" s="105">
        <f>((data!$A$3/8)*L11)+((data!$B$3/8)*(M11+N11+O11))+(P11*$E$23)</f>
        <v>1133625</v>
      </c>
      <c r="R11" s="105">
        <f t="shared" si="0"/>
        <v>100000</v>
      </c>
      <c r="S11" s="105">
        <f t="shared" si="8"/>
        <v>28375</v>
      </c>
      <c r="T11" s="106">
        <f t="shared" si="1"/>
        <v>150000</v>
      </c>
      <c r="U11" s="105">
        <f t="shared" si="2"/>
        <v>85125</v>
      </c>
      <c r="V11" s="107">
        <f t="shared" si="9"/>
        <v>0</v>
      </c>
      <c r="W11" s="105">
        <f t="shared" si="3"/>
        <v>50000</v>
      </c>
      <c r="X11" s="140">
        <v>7600</v>
      </c>
      <c r="Y11" s="108">
        <f t="shared" si="7"/>
        <v>1555000</v>
      </c>
      <c r="AD11" s="35">
        <f t="shared" si="4"/>
        <v>28.375</v>
      </c>
      <c r="AE11" s="77"/>
      <c r="AF11" s="80">
        <f t="shared" ref="AF11:AF14" si="14">AD11-AE11</f>
        <v>28.375</v>
      </c>
      <c r="AG11" s="77">
        <f t="shared" si="10"/>
        <v>28.375</v>
      </c>
      <c r="AH11" s="90"/>
      <c r="AI11" s="77">
        <f t="shared" si="11"/>
        <v>0</v>
      </c>
      <c r="AK11" s="85">
        <v>1195000</v>
      </c>
      <c r="AL11" s="36" t="str">
        <f t="shared" si="12"/>
        <v>riniroma</v>
      </c>
      <c r="AN11" s="91"/>
      <c r="AO11" s="36">
        <f t="shared" si="13"/>
        <v>0</v>
      </c>
    </row>
    <row r="12" spans="1:42" s="36" customFormat="1" ht="26.1" customHeight="1">
      <c r="A12" s="41"/>
      <c r="B12" s="101">
        <v>8</v>
      </c>
      <c r="C12" s="103" t="s">
        <v>81</v>
      </c>
      <c r="D12" s="102" t="s">
        <v>25</v>
      </c>
      <c r="E12" s="103"/>
      <c r="F12" s="102"/>
      <c r="G12" s="102"/>
      <c r="H12" s="102"/>
      <c r="I12" s="104" t="s">
        <v>26</v>
      </c>
      <c r="J12" s="103"/>
      <c r="K12" s="102"/>
      <c r="L12" s="144"/>
      <c r="M12" s="144"/>
      <c r="N12" s="145"/>
      <c r="O12" s="145"/>
      <c r="P12" s="130">
        <f t="shared" si="6"/>
        <v>0</v>
      </c>
      <c r="Q12" s="105">
        <f>((data!$A$3/8)*L12)+((data!$B$3/8)*(M12+N12+O12))+(P12*$E$23)</f>
        <v>0</v>
      </c>
      <c r="R12" s="105"/>
      <c r="S12" s="105">
        <f t="shared" si="8"/>
        <v>0</v>
      </c>
      <c r="T12" s="106"/>
      <c r="U12" s="105"/>
      <c r="V12" s="107"/>
      <c r="W12" s="105">
        <v>90000</v>
      </c>
      <c r="X12" s="140"/>
      <c r="Y12" s="108">
        <f t="shared" si="7"/>
        <v>90000</v>
      </c>
      <c r="AD12" s="35"/>
      <c r="AE12" s="77"/>
      <c r="AF12" s="80"/>
      <c r="AG12" s="77"/>
      <c r="AH12" s="90"/>
      <c r="AI12" s="77"/>
      <c r="AK12" s="85"/>
      <c r="AL12" s="36" t="str">
        <f t="shared" si="12"/>
        <v>Ririn</v>
      </c>
      <c r="AN12" s="91"/>
    </row>
    <row r="13" spans="1:42" s="34" customFormat="1" ht="26.1" customHeight="1">
      <c r="A13" s="39"/>
      <c r="B13" s="101">
        <v>9</v>
      </c>
      <c r="C13" s="103" t="s">
        <v>36</v>
      </c>
      <c r="D13" s="102" t="s">
        <v>3</v>
      </c>
      <c r="E13" s="103"/>
      <c r="F13" s="102"/>
      <c r="G13" s="102">
        <v>1</v>
      </c>
      <c r="H13" s="102"/>
      <c r="I13" s="104" t="s">
        <v>26</v>
      </c>
      <c r="J13" s="103"/>
      <c r="K13" s="142"/>
      <c r="L13" s="146">
        <v>16</v>
      </c>
      <c r="M13" s="144">
        <v>134</v>
      </c>
      <c r="N13" s="146">
        <v>12</v>
      </c>
      <c r="O13" s="146"/>
      <c r="P13" s="130">
        <f t="shared" si="6"/>
        <v>162</v>
      </c>
      <c r="Q13" s="105">
        <f>((data!$A$3/8)*L13)+((data!$B$3/8)*(M13+N13+O13))+(P13*$E$23)</f>
        <v>791750</v>
      </c>
      <c r="R13" s="105">
        <f t="shared" si="0"/>
        <v>50000</v>
      </c>
      <c r="S13" s="105">
        <f t="shared" si="8"/>
        <v>20250</v>
      </c>
      <c r="T13" s="106">
        <f t="shared" si="1"/>
        <v>50000</v>
      </c>
      <c r="U13" s="105">
        <f t="shared" si="2"/>
        <v>0</v>
      </c>
      <c r="V13" s="107">
        <f t="shared" si="9"/>
        <v>0</v>
      </c>
      <c r="W13" s="105">
        <f t="shared" si="3"/>
        <v>0</v>
      </c>
      <c r="X13" s="140">
        <v>2400</v>
      </c>
      <c r="Y13" s="108">
        <f t="shared" si="7"/>
        <v>914500</v>
      </c>
      <c r="AD13" s="35">
        <f t="shared" si="4"/>
        <v>20.25</v>
      </c>
      <c r="AE13" s="77"/>
      <c r="AF13" s="77">
        <f t="shared" si="14"/>
        <v>20.25</v>
      </c>
      <c r="AG13" s="77">
        <f t="shared" si="10"/>
        <v>20.25</v>
      </c>
      <c r="AH13" s="87"/>
      <c r="AI13" s="77">
        <f t="shared" si="11"/>
        <v>0</v>
      </c>
      <c r="AK13" s="85">
        <v>969000</v>
      </c>
      <c r="AL13" s="34" t="str">
        <f t="shared" si="12"/>
        <v>Ronald</v>
      </c>
      <c r="AN13" s="86"/>
      <c r="AO13" s="34">
        <f t="shared" si="13"/>
        <v>0</v>
      </c>
    </row>
    <row r="14" spans="1:42" s="34" customFormat="1" ht="26.1" customHeight="1">
      <c r="A14" s="39"/>
      <c r="B14" s="101">
        <v>10</v>
      </c>
      <c r="C14" s="103" t="s">
        <v>37</v>
      </c>
      <c r="D14" s="102" t="s">
        <v>3</v>
      </c>
      <c r="E14" s="103"/>
      <c r="F14" s="102"/>
      <c r="G14" s="102">
        <v>1</v>
      </c>
      <c r="H14" s="102"/>
      <c r="I14" s="149"/>
      <c r="J14" s="103"/>
      <c r="K14" s="142"/>
      <c r="L14" s="146">
        <v>1</v>
      </c>
      <c r="M14" s="147">
        <v>147</v>
      </c>
      <c r="N14" s="147">
        <v>58</v>
      </c>
      <c r="O14" s="148"/>
      <c r="P14" s="130">
        <f t="shared" si="6"/>
        <v>206</v>
      </c>
      <c r="Q14" s="105">
        <f>((data!$A$3/8)*L14)+((data!$B$3/8)*(M14+N14+O14))+(P14*$E$23)</f>
        <v>1004375</v>
      </c>
      <c r="R14" s="105">
        <f t="shared" si="0"/>
        <v>50000</v>
      </c>
      <c r="S14" s="105">
        <f t="shared" si="8"/>
        <v>25750</v>
      </c>
      <c r="T14" s="106">
        <f t="shared" si="1"/>
        <v>50000</v>
      </c>
      <c r="U14" s="105">
        <f t="shared" si="2"/>
        <v>51500</v>
      </c>
      <c r="V14" s="107">
        <f t="shared" si="9"/>
        <v>0</v>
      </c>
      <c r="W14" s="105">
        <f t="shared" si="3"/>
        <v>0</v>
      </c>
      <c r="X14" s="140">
        <v>14400</v>
      </c>
      <c r="Y14" s="108">
        <f t="shared" si="7"/>
        <v>1196500</v>
      </c>
      <c r="AD14" s="35">
        <f t="shared" si="4"/>
        <v>25.75</v>
      </c>
      <c r="AF14" s="34">
        <f t="shared" si="14"/>
        <v>25.75</v>
      </c>
      <c r="AG14" s="34">
        <f t="shared" si="10"/>
        <v>25.75</v>
      </c>
      <c r="AH14" s="92"/>
      <c r="AI14" s="34">
        <f t="shared" si="11"/>
        <v>0</v>
      </c>
      <c r="AK14" s="85">
        <v>756500</v>
      </c>
      <c r="AL14" s="34" t="str">
        <f t="shared" si="12"/>
        <v>Yulika</v>
      </c>
      <c r="AN14" s="86"/>
      <c r="AO14" s="34">
        <f t="shared" si="13"/>
        <v>0</v>
      </c>
    </row>
    <row r="15" spans="1:42" s="34" customFormat="1" ht="26.1" hidden="1" customHeight="1">
      <c r="A15" s="39"/>
      <c r="B15" s="109">
        <v>13</v>
      </c>
      <c r="C15" s="110"/>
      <c r="D15" s="111"/>
      <c r="E15" s="112"/>
      <c r="F15" s="113"/>
      <c r="G15" s="113"/>
      <c r="H15" s="113"/>
      <c r="I15" s="114"/>
      <c r="J15" s="113"/>
      <c r="K15" s="131"/>
      <c r="L15" s="133"/>
      <c r="M15" s="132"/>
      <c r="N15" s="132"/>
      <c r="O15" s="132"/>
      <c r="P15" s="130">
        <f t="shared" ref="P15:P17" si="15">SUM(L15:O15)</f>
        <v>0</v>
      </c>
      <c r="Q15" s="115">
        <f>((data!$A$3/8)*L15)+((data!$B$3/8)*(M15+N15+O15))+(P15*$E$23)</f>
        <v>0</v>
      </c>
      <c r="R15" s="115">
        <f t="shared" si="0"/>
        <v>100000</v>
      </c>
      <c r="S15" s="115">
        <f t="shared" si="8"/>
        <v>0</v>
      </c>
      <c r="T15" s="115">
        <f t="shared" si="1"/>
        <v>0</v>
      </c>
      <c r="U15" s="115">
        <f t="shared" si="2"/>
        <v>0</v>
      </c>
      <c r="V15" s="116">
        <f t="shared" ref="V15:V16" si="16">J15*-12500</f>
        <v>0</v>
      </c>
      <c r="W15" s="117">
        <f t="shared" si="3"/>
        <v>0</v>
      </c>
      <c r="X15" s="115"/>
      <c r="Y15" s="108">
        <f t="shared" ref="Y15:Y16" si="17">CEILING(SUM(Q15:X15),500)</f>
        <v>100000</v>
      </c>
      <c r="AD15" s="34">
        <f t="shared" si="4"/>
        <v>0</v>
      </c>
      <c r="AE15" s="34">
        <f t="shared" ref="AE15:AE16" si="18">AD15+AI15</f>
        <v>0</v>
      </c>
      <c r="AF15" s="34">
        <f t="shared" ref="AF15" si="19">AD15-AE15</f>
        <v>0</v>
      </c>
      <c r="AK15" s="85">
        <v>0</v>
      </c>
      <c r="AL15" s="34">
        <f t="shared" si="12"/>
        <v>0</v>
      </c>
      <c r="AN15" s="86"/>
      <c r="AO15" s="34">
        <f t="shared" si="13"/>
        <v>0</v>
      </c>
    </row>
    <row r="16" spans="1:42" s="34" customFormat="1" ht="26.1" hidden="1" customHeight="1">
      <c r="A16" s="39"/>
      <c r="B16" s="109">
        <v>14</v>
      </c>
      <c r="C16" s="118"/>
      <c r="D16" s="111"/>
      <c r="E16" s="119">
        <v>0</v>
      </c>
      <c r="F16" s="113"/>
      <c r="G16" s="113"/>
      <c r="H16" s="113"/>
      <c r="I16" s="120" t="s">
        <v>26</v>
      </c>
      <c r="J16" s="113"/>
      <c r="K16" s="131"/>
      <c r="L16" s="133"/>
      <c r="M16" s="133"/>
      <c r="N16" s="133"/>
      <c r="O16" s="133"/>
      <c r="P16" s="130">
        <f t="shared" si="15"/>
        <v>0</v>
      </c>
      <c r="Q16" s="115">
        <f>((data!$A$3/8)*L16)+((data!$B$3/8)*(M16+N16+O16))+(P16*$E$23)</f>
        <v>0</v>
      </c>
      <c r="R16" s="115">
        <f t="shared" si="0"/>
        <v>0</v>
      </c>
      <c r="S16" s="115">
        <v>0</v>
      </c>
      <c r="T16" s="115">
        <f t="shared" si="1"/>
        <v>0</v>
      </c>
      <c r="U16" s="115">
        <f t="shared" si="2"/>
        <v>0</v>
      </c>
      <c r="V16" s="116">
        <f t="shared" si="16"/>
        <v>0</v>
      </c>
      <c r="W16" s="117">
        <f t="shared" si="3"/>
        <v>0</v>
      </c>
      <c r="X16" s="115"/>
      <c r="Y16" s="108">
        <f t="shared" si="17"/>
        <v>0</v>
      </c>
      <c r="AE16" s="34">
        <f t="shared" si="18"/>
        <v>0</v>
      </c>
      <c r="AK16" s="85">
        <v>0</v>
      </c>
      <c r="AL16" s="34">
        <f t="shared" si="12"/>
        <v>0</v>
      </c>
    </row>
    <row r="17" spans="1:37" ht="26.1" customHeight="1" thickBot="1">
      <c r="A17" s="37"/>
      <c r="B17" s="121"/>
      <c r="C17" s="122"/>
      <c r="D17" s="122"/>
      <c r="E17" s="123"/>
      <c r="F17" s="122"/>
      <c r="G17" s="124"/>
      <c r="H17" s="124"/>
      <c r="I17" s="124"/>
      <c r="J17" s="123">
        <f>SUM(J5:J15)</f>
        <v>0</v>
      </c>
      <c r="K17" s="134"/>
      <c r="L17" s="135">
        <f>SUM(L5:L15)</f>
        <v>496</v>
      </c>
      <c r="M17" s="135">
        <f>SUM(M5:M16)</f>
        <v>496</v>
      </c>
      <c r="N17" s="135">
        <f>SUM(N5:N16)</f>
        <v>496</v>
      </c>
      <c r="O17" s="135">
        <f>SUM(O5:O15)</f>
        <v>128</v>
      </c>
      <c r="P17" s="136">
        <f t="shared" si="15"/>
        <v>1616</v>
      </c>
      <c r="Q17" s="125">
        <f t="shared" ref="Q17:X17" si="20">SUM(Q5:Q15)</f>
        <v>7940000</v>
      </c>
      <c r="R17" s="125">
        <f t="shared" si="20"/>
        <v>350000</v>
      </c>
      <c r="S17" s="125">
        <f t="shared" si="20"/>
        <v>148000</v>
      </c>
      <c r="T17" s="125">
        <f t="shared" si="20"/>
        <v>350000</v>
      </c>
      <c r="U17" s="125">
        <f t="shared" si="20"/>
        <v>221375</v>
      </c>
      <c r="V17" s="126">
        <f t="shared" si="20"/>
        <v>0</v>
      </c>
      <c r="W17" s="125">
        <f t="shared" si="20"/>
        <v>230000</v>
      </c>
      <c r="X17" s="125">
        <f t="shared" si="20"/>
        <v>54400</v>
      </c>
      <c r="Y17" s="150">
        <f t="shared" ref="Y17" si="21">CEILING(SUM(Q17:X17),500)</f>
        <v>9294000</v>
      </c>
      <c r="AH17">
        <f>SUM(AH5:AH14)</f>
        <v>144</v>
      </c>
      <c r="AI17">
        <f>SUM(AI5:AI14)</f>
        <v>18</v>
      </c>
      <c r="AK17" s="93">
        <f>SUM(AK5:AK16)</f>
        <v>6114500</v>
      </c>
    </row>
    <row r="18" spans="1:37" ht="26.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57">
        <f>L17+M17+N17</f>
        <v>1488</v>
      </c>
      <c r="M18" s="158"/>
      <c r="N18" s="158"/>
      <c r="O18" s="64"/>
      <c r="P18" s="64"/>
      <c r="Q18" s="64"/>
      <c r="R18" s="64"/>
      <c r="S18" s="64"/>
      <c r="T18" s="64"/>
      <c r="U18" s="64"/>
      <c r="V18" s="64"/>
      <c r="W18" s="159">
        <f ca="1">NOW()</f>
        <v>46059.05643715278</v>
      </c>
      <c r="X18" s="159"/>
      <c r="Y18" s="64"/>
    </row>
    <row r="19" spans="1:37" ht="26.1" hidden="1" customHeight="1">
      <c r="A19" s="37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37" ht="26.1" hidden="1" customHeight="1">
      <c r="A20" s="37"/>
      <c r="B20" s="44"/>
      <c r="C20" s="44"/>
      <c r="D20" s="44"/>
      <c r="E20" s="45"/>
      <c r="F20" s="44"/>
      <c r="G20" s="46"/>
      <c r="H20" s="47"/>
      <c r="I20" s="65"/>
      <c r="J20" s="65"/>
      <c r="K20" s="42"/>
      <c r="L20" s="66">
        <f>SUM(L17:N17)</f>
        <v>1488</v>
      </c>
      <c r="M20" s="67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37" ht="26.1" hidden="1" customHeight="1">
      <c r="A21" s="37"/>
      <c r="B21" s="48"/>
      <c r="C21" s="48"/>
      <c r="D21" s="48"/>
      <c r="E21" s="48"/>
      <c r="F21" s="48"/>
      <c r="G21" s="48"/>
      <c r="H21" s="49"/>
      <c r="I21" s="49"/>
      <c r="J21" s="49"/>
      <c r="K21" s="5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37" ht="26.1" hidden="1" customHeight="1">
      <c r="A22" s="37"/>
      <c r="B22" s="50"/>
      <c r="C22" s="51"/>
      <c r="D22" s="48"/>
      <c r="E22" s="48"/>
      <c r="F22" s="48"/>
      <c r="G22" s="48"/>
      <c r="H22" s="48"/>
      <c r="I22" s="51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7" ht="26.1" customHeight="1">
      <c r="A23" s="37"/>
      <c r="B23" s="52"/>
      <c r="C23" s="52" t="s">
        <v>38</v>
      </c>
      <c r="D23" s="52"/>
      <c r="E23" s="160">
        <f>IF(L18&gt;0,data!F3/L18)</f>
        <v>0</v>
      </c>
      <c r="F23" s="160"/>
      <c r="G23" s="48"/>
      <c r="H23" s="51"/>
      <c r="I23" s="51"/>
      <c r="J23" s="69" t="s">
        <v>39</v>
      </c>
      <c r="K23" s="69"/>
      <c r="L23" s="69"/>
      <c r="M23" s="69"/>
      <c r="N23" s="69"/>
      <c r="O23" s="69"/>
      <c r="P23" s="69"/>
      <c r="Q23" s="64"/>
      <c r="R23" s="64"/>
      <c r="S23" s="64"/>
      <c r="T23" s="64"/>
      <c r="U23" s="64"/>
      <c r="V23" s="64"/>
      <c r="W23" s="64"/>
      <c r="X23" s="49"/>
      <c r="Y23" s="49"/>
    </row>
    <row r="24" spans="1:37" ht="26.1" hidden="1" customHeight="1">
      <c r="A24" s="37"/>
      <c r="B24" s="53"/>
      <c r="C24" s="53"/>
      <c r="D24" s="53"/>
      <c r="E24" s="54"/>
      <c r="F24" s="54"/>
      <c r="G24" s="48"/>
      <c r="H24" s="51"/>
      <c r="I24" s="48"/>
      <c r="J24" s="48"/>
      <c r="K24" s="70"/>
      <c r="L24" s="70"/>
      <c r="M24" s="70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37" ht="26.1" hidden="1" customHeight="1">
      <c r="A25" s="37"/>
      <c r="B25" s="54"/>
      <c r="C25" s="54"/>
      <c r="D25" s="54"/>
      <c r="E25" s="54"/>
      <c r="F25" s="54"/>
      <c r="G25" s="48"/>
      <c r="H25" s="51"/>
      <c r="I25" s="48"/>
      <c r="J25" s="48"/>
      <c r="K25" s="71"/>
      <c r="L25" s="71"/>
      <c r="M25" s="71"/>
      <c r="N25" s="70"/>
      <c r="O25" s="71"/>
      <c r="P25" s="71"/>
      <c r="Q25" s="64"/>
      <c r="R25" s="64"/>
      <c r="S25" s="64"/>
      <c r="T25" s="64"/>
      <c r="U25" s="64"/>
      <c r="V25" s="64"/>
      <c r="W25" s="64"/>
      <c r="X25" s="49"/>
      <c r="Y25" s="49"/>
    </row>
    <row r="26" spans="1:37" ht="26.1" customHeight="1">
      <c r="A26" s="37"/>
      <c r="B26" s="153" t="s">
        <v>40</v>
      </c>
      <c r="C26" s="153"/>
      <c r="D26" s="153"/>
      <c r="E26" s="153"/>
      <c r="F26" s="55">
        <v>2</v>
      </c>
      <c r="G26" s="48"/>
      <c r="H26" s="51"/>
      <c r="I26" s="48"/>
      <c r="J26" s="152"/>
      <c r="K26" s="152"/>
      <c r="L26" s="152"/>
      <c r="M26" s="152"/>
      <c r="N26" s="152"/>
      <c r="O26" s="152"/>
      <c r="P26" s="152"/>
      <c r="Q26" s="64"/>
      <c r="R26" s="64"/>
      <c r="S26" s="64"/>
      <c r="T26" s="64"/>
      <c r="U26" s="64"/>
      <c r="V26" s="64"/>
      <c r="W26" s="64"/>
      <c r="X26" s="74">
        <f>1.5*data!A3</f>
        <v>60000</v>
      </c>
      <c r="Y26" s="81">
        <f>X26/8</f>
        <v>7500</v>
      </c>
    </row>
    <row r="27" spans="1:37" ht="26.1" customHeight="1">
      <c r="A27" s="37"/>
      <c r="B27" s="153" t="s">
        <v>41</v>
      </c>
      <c r="C27" s="153"/>
      <c r="D27" s="153"/>
      <c r="E27" s="153"/>
      <c r="F27" s="56">
        <f>31*24*F26</f>
        <v>1488</v>
      </c>
      <c r="G27" s="57"/>
      <c r="H27" s="56"/>
      <c r="I27" s="57"/>
      <c r="J27" s="152"/>
      <c r="K27" s="152"/>
      <c r="L27" s="152"/>
      <c r="M27" s="152"/>
      <c r="N27" s="152"/>
      <c r="O27" s="152"/>
      <c r="P27" s="152"/>
      <c r="Q27" s="64"/>
      <c r="R27" s="64"/>
      <c r="S27" s="64"/>
      <c r="T27" s="64"/>
      <c r="U27" s="64"/>
      <c r="V27" s="64"/>
      <c r="W27" s="64"/>
      <c r="X27" s="75">
        <f>X26-data!A3</f>
        <v>20000</v>
      </c>
      <c r="Y27" s="81">
        <f>X27/8</f>
        <v>2500</v>
      </c>
    </row>
    <row r="28" spans="1:37" ht="26.1" customHeight="1">
      <c r="A28" s="37"/>
      <c r="B28" s="153" t="s">
        <v>42</v>
      </c>
      <c r="C28" s="153"/>
      <c r="D28" s="153"/>
      <c r="E28" s="153"/>
      <c r="F28" s="56">
        <v>0</v>
      </c>
      <c r="G28" s="57"/>
      <c r="H28" s="57"/>
      <c r="I28" s="57"/>
      <c r="J28" s="57"/>
      <c r="K28" s="71"/>
      <c r="L28" s="72"/>
      <c r="M28" s="71"/>
      <c r="N28" s="70"/>
      <c r="O28" s="71"/>
      <c r="P28" s="73"/>
      <c r="Q28" s="64"/>
      <c r="R28" s="64"/>
      <c r="S28" s="64"/>
      <c r="T28" s="64"/>
      <c r="U28" s="64"/>
      <c r="V28" s="64"/>
      <c r="W28" s="64"/>
      <c r="X28" s="49"/>
      <c r="Y28" s="49"/>
    </row>
    <row r="29" spans="1:37" ht="26.1" customHeight="1">
      <c r="A29" s="37"/>
      <c r="B29" s="153" t="s">
        <v>43</v>
      </c>
      <c r="C29" s="153"/>
      <c r="D29" s="153"/>
      <c r="E29" s="153"/>
      <c r="F29" s="58">
        <f>F27-F28</f>
        <v>1488</v>
      </c>
      <c r="G29" s="59"/>
      <c r="H29" s="59"/>
      <c r="I29" s="59"/>
      <c r="J29" s="5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9"/>
      <c r="Y29" s="49"/>
    </row>
    <row r="30" spans="1:37" ht="26.1" customHeight="1">
      <c r="A30" s="37"/>
      <c r="B30" s="151" t="s">
        <v>44</v>
      </c>
      <c r="C30" s="151"/>
      <c r="D30" s="151"/>
      <c r="E30" s="151"/>
      <c r="F30" s="60">
        <f>P17</f>
        <v>1616</v>
      </c>
      <c r="G30" s="61"/>
      <c r="H30" s="61"/>
      <c r="I30" s="61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6"/>
      <c r="Y30" s="76"/>
    </row>
    <row r="31" spans="1:37" ht="26.1" customHeight="1">
      <c r="A31" s="37"/>
      <c r="B31" s="151" t="s">
        <v>45</v>
      </c>
      <c r="C31" s="151"/>
      <c r="D31" s="151"/>
      <c r="E31" s="151"/>
      <c r="F31" s="62">
        <f>-(F29-F30)</f>
        <v>128</v>
      </c>
      <c r="G31" s="63"/>
      <c r="H31" s="63"/>
      <c r="I31" s="63"/>
      <c r="J31" s="6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2"/>
      <c r="Y31" s="65"/>
    </row>
    <row r="32" spans="1:37" ht="26.1" customHeight="1">
      <c r="Y32" s="82"/>
    </row>
    <row r="33" ht="26.1" customHeight="1"/>
  </sheetData>
  <sortState ref="C5:C14">
    <sortCondition ref="C4"/>
  </sortState>
  <mergeCells count="12">
    <mergeCell ref="B3:D3"/>
    <mergeCell ref="AH4:AI4"/>
    <mergeCell ref="L18:N18"/>
    <mergeCell ref="W18:X18"/>
    <mergeCell ref="E23:F23"/>
    <mergeCell ref="B31:E31"/>
    <mergeCell ref="J26:P27"/>
    <mergeCell ref="B26:E26"/>
    <mergeCell ref="B27:E27"/>
    <mergeCell ref="B28:E28"/>
    <mergeCell ref="B29:E29"/>
    <mergeCell ref="B30:E30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0"/>
  <sheetViews>
    <sheetView showGridLines="0" workbookViewId="0">
      <selection activeCell="E20" sqref="E20"/>
    </sheetView>
  </sheetViews>
  <sheetFormatPr defaultColWidth="9" defaultRowHeight="15"/>
  <cols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</cols>
  <sheetData>
    <row r="5" spans="4:10">
      <c r="D5" s="161" t="s">
        <v>48</v>
      </c>
      <c r="E5" s="162"/>
      <c r="F5" s="162"/>
      <c r="G5" s="163"/>
    </row>
    <row r="6" spans="4:10">
      <c r="D6" s="33" t="s">
        <v>34</v>
      </c>
      <c r="E6" s="33" t="s">
        <v>49</v>
      </c>
      <c r="F6" s="32" t="s">
        <v>50</v>
      </c>
      <c r="G6" s="33"/>
      <c r="J6" s="127"/>
    </row>
    <row r="7" spans="4:10">
      <c r="D7" s="33" t="s">
        <v>54</v>
      </c>
      <c r="E7" s="33"/>
      <c r="F7" s="32"/>
      <c r="G7" s="33"/>
    </row>
    <row r="10" spans="4:10">
      <c r="D10" s="164"/>
      <c r="E10" s="164"/>
      <c r="F10" s="164"/>
      <c r="G10" s="164"/>
    </row>
    <row r="11" spans="4:10">
      <c r="D11" s="137"/>
      <c r="E11" s="137"/>
      <c r="F11" s="137"/>
      <c r="G11" s="137"/>
    </row>
    <row r="12" spans="4:10">
      <c r="D12" s="138"/>
      <c r="E12" s="139"/>
      <c r="F12" s="139"/>
      <c r="G12" s="138"/>
    </row>
    <row r="15" spans="4:10">
      <c r="D15" s="33" t="s">
        <v>46</v>
      </c>
      <c r="E15" s="33" t="s">
        <v>76</v>
      </c>
    </row>
    <row r="16" spans="4:10">
      <c r="D16" s="33" t="s">
        <v>37</v>
      </c>
      <c r="E16" s="128" t="s">
        <v>77</v>
      </c>
    </row>
    <row r="17" spans="4:5">
      <c r="D17" s="33" t="s">
        <v>30</v>
      </c>
      <c r="E17" s="128" t="s">
        <v>78</v>
      </c>
    </row>
    <row r="18" spans="4:5">
      <c r="D18" s="33" t="s">
        <v>32</v>
      </c>
      <c r="E18" s="128">
        <v>45554</v>
      </c>
    </row>
    <row r="19" spans="4:5">
      <c r="D19" s="96" t="s">
        <v>34</v>
      </c>
      <c r="E19" s="129" t="s">
        <v>79</v>
      </c>
    </row>
    <row r="20" spans="4:5">
      <c r="D20" s="96" t="s">
        <v>54</v>
      </c>
      <c r="E20" s="129">
        <v>45923</v>
      </c>
    </row>
  </sheetData>
  <mergeCells count="2">
    <mergeCell ref="D5:G5"/>
    <mergeCell ref="D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workbookViewId="0">
      <selection activeCell="I10" sqref="I10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51</v>
      </c>
      <c r="S4" s="5" t="s">
        <v>52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53</v>
      </c>
      <c r="D5" s="9" t="s">
        <v>3</v>
      </c>
      <c r="E5" s="7" t="s">
        <v>28</v>
      </c>
      <c r="F5" s="10"/>
      <c r="G5" s="7">
        <v>1</v>
      </c>
      <c r="H5" s="7"/>
      <c r="I5" s="15" t="s">
        <v>26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54</v>
      </c>
      <c r="D6" s="13" t="s">
        <v>25</v>
      </c>
      <c r="E6" s="14" t="s">
        <v>55</v>
      </c>
      <c r="F6" s="13"/>
      <c r="G6" s="14"/>
      <c r="H6" s="14"/>
      <c r="I6" s="14" t="s">
        <v>26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56</v>
      </c>
      <c r="D7" s="9" t="s">
        <v>3</v>
      </c>
      <c r="E7" s="15"/>
      <c r="F7" s="9"/>
      <c r="G7" s="15">
        <v>2</v>
      </c>
      <c r="H7" s="15" t="s">
        <v>31</v>
      </c>
      <c r="I7" s="94" t="s">
        <v>29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57</v>
      </c>
      <c r="D8" s="9" t="s">
        <v>25</v>
      </c>
      <c r="E8" s="7" t="s">
        <v>28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58</v>
      </c>
      <c r="D9" s="17" t="s">
        <v>3</v>
      </c>
      <c r="E9" s="16"/>
      <c r="F9" s="17"/>
      <c r="G9" s="18">
        <v>1</v>
      </c>
      <c r="H9" s="18" t="s">
        <v>31</v>
      </c>
      <c r="I9" s="18" t="s">
        <v>29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33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29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59</v>
      </c>
      <c r="D11" s="17" t="s">
        <v>3</v>
      </c>
      <c r="E11" s="16" t="s">
        <v>55</v>
      </c>
      <c r="F11" s="18"/>
      <c r="G11" s="18">
        <v>1</v>
      </c>
      <c r="H11" s="18"/>
      <c r="I11" s="18" t="s">
        <v>26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47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29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60</v>
      </c>
      <c r="D14" s="9" t="s">
        <v>3</v>
      </c>
      <c r="E14" s="15"/>
      <c r="F14" s="9"/>
      <c r="G14" s="15">
        <v>1</v>
      </c>
      <c r="H14" s="15"/>
      <c r="I14" s="15" t="s">
        <v>29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61</v>
      </c>
      <c r="D15" s="9" t="s">
        <v>3</v>
      </c>
      <c r="E15" s="7" t="s">
        <v>55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25</v>
      </c>
      <c r="E16" s="7" t="s">
        <v>55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62</v>
      </c>
      <c r="D17" s="9" t="s">
        <v>25</v>
      </c>
      <c r="E17" s="7" t="s">
        <v>55</v>
      </c>
      <c r="F17" s="20"/>
      <c r="G17" s="20"/>
      <c r="H17" s="20"/>
      <c r="I17" s="15" t="s">
        <v>26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63</v>
      </c>
      <c r="L21" s="95" t="s">
        <v>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55</v>
      </c>
      <c r="F23" s="5" t="s">
        <v>65</v>
      </c>
      <c r="G23" s="5" t="s">
        <v>66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67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51</v>
      </c>
      <c r="V23" s="5" t="s">
        <v>52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53</v>
      </c>
      <c r="D24" s="23" t="s">
        <v>3</v>
      </c>
      <c r="E24" s="23">
        <v>4</v>
      </c>
      <c r="F24" s="23">
        <v>4</v>
      </c>
      <c r="G24" s="23">
        <v>2</v>
      </c>
      <c r="H24" s="23" t="s">
        <v>68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54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56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57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58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33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59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47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60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61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62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B3" sqref="B3"/>
    </sheetView>
  </sheetViews>
  <sheetFormatPr defaultColWidth="9" defaultRowHeight="15"/>
  <cols>
    <col min="9" max="9" width="18.140625" customWidth="1"/>
  </cols>
  <sheetData>
    <row r="1" spans="1:10">
      <c r="A1" t="s">
        <v>69</v>
      </c>
    </row>
    <row r="2" spans="1:10">
      <c r="A2" t="s">
        <v>70</v>
      </c>
      <c r="B2" t="s">
        <v>71</v>
      </c>
      <c r="F2" s="1" t="s">
        <v>72</v>
      </c>
      <c r="I2" s="1" t="s">
        <v>73</v>
      </c>
      <c r="J2" s="1" t="s">
        <v>74</v>
      </c>
    </row>
    <row r="3" spans="1:10">
      <c r="A3">
        <v>40000</v>
      </c>
      <c r="B3">
        <v>39000</v>
      </c>
      <c r="F3">
        <v>0</v>
      </c>
      <c r="I3" s="3">
        <f>Sheet1!B3</f>
        <v>46023</v>
      </c>
    </row>
    <row r="4" spans="1:10">
      <c r="I4" s="4">
        <f>EOMONTH(I3,0)</f>
        <v>46053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2">
        <f>A11/8</f>
        <v>2500</v>
      </c>
      <c r="B12" s="2" t="s">
        <v>75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2026-02-05T18:22:05Z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