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W:\_DOC\doc\gaji\2026\2\"/>
    </mc:Choice>
  </mc:AlternateContent>
  <xr:revisionPtr revIDLastSave="0" documentId="13_ncr:1_{88312CA4-3E4E-42EB-8F04-700111C6856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B4" i="2"/>
  <c r="A4" i="2"/>
  <c r="F29" i="1"/>
  <c r="A10" i="2"/>
  <c r="A11" i="2"/>
  <c r="X9" i="1"/>
  <c r="X10" i="1"/>
  <c r="X12" i="1"/>
  <c r="T9" i="1" l="1"/>
  <c r="X14" i="1" l="1"/>
  <c r="T7" i="1"/>
  <c r="X5" i="1"/>
  <c r="X7" i="1"/>
  <c r="X8" i="1"/>
  <c r="V28" i="1" l="1"/>
  <c r="W28" i="1" s="1"/>
  <c r="V29" i="1" l="1"/>
  <c r="W29" i="1"/>
  <c r="P14" i="1" l="1"/>
  <c r="S14" i="1" l="1"/>
  <c r="U14" i="1"/>
  <c r="R5" i="1"/>
  <c r="R6" i="1"/>
  <c r="X16" i="1" l="1"/>
  <c r="X15" i="1"/>
  <c r="X13" i="1"/>
  <c r="R8" i="1" l="1"/>
  <c r="R9" i="1"/>
  <c r="R10" i="1"/>
  <c r="R11" i="1"/>
  <c r="R12" i="1"/>
  <c r="R13" i="1"/>
  <c r="R14" i="1"/>
  <c r="AF18" i="1"/>
  <c r="T14" i="1"/>
  <c r="AI19" i="1"/>
  <c r="AJ6" i="1"/>
  <c r="AJ7" i="1"/>
  <c r="AJ8" i="1"/>
  <c r="AJ9" i="1"/>
  <c r="AJ10" i="1"/>
  <c r="AJ11" i="1"/>
  <c r="AJ12" i="1"/>
  <c r="AJ13" i="1"/>
  <c r="AJ14" i="1"/>
  <c r="AJ15" i="1"/>
  <c r="AJ5" i="1"/>
  <c r="AJ19" i="1" l="1"/>
  <c r="V16" i="1"/>
  <c r="P5" i="1"/>
  <c r="P16" i="1"/>
  <c r="U16" i="1" s="1"/>
  <c r="A12" i="2" l="1"/>
  <c r="T6" i="1" l="1"/>
  <c r="T8" i="1" l="1"/>
  <c r="V5" i="1" l="1"/>
  <c r="V6" i="1"/>
  <c r="V7" i="1"/>
  <c r="V8" i="1"/>
  <c r="P18" i="1" l="1"/>
  <c r="P17" i="1"/>
  <c r="P15" i="1"/>
  <c r="P13" i="1"/>
  <c r="S13" i="1" s="1"/>
  <c r="P12" i="1"/>
  <c r="U12" i="1"/>
  <c r="P11" i="1"/>
  <c r="U11" i="1" s="1"/>
  <c r="P10" i="1"/>
  <c r="S10" i="1"/>
  <c r="P9" i="1"/>
  <c r="P8" i="1"/>
  <c r="P7" i="1"/>
  <c r="S7" i="1"/>
  <c r="P6" i="1"/>
  <c r="S6" i="1" s="1"/>
  <c r="U5" i="1"/>
  <c r="U13" i="1" l="1"/>
  <c r="S9" i="1"/>
  <c r="U9" i="1"/>
  <c r="U10" i="1"/>
  <c r="S11" i="1"/>
  <c r="U6" i="1"/>
  <c r="S15" i="1"/>
  <c r="U15" i="1"/>
  <c r="U7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17" i="1" l="1"/>
  <c r="X18" i="1"/>
  <c r="V18" i="1" l="1"/>
  <c r="U18" i="1"/>
  <c r="T18" i="1"/>
  <c r="R18" i="1"/>
  <c r="N19" i="1" l="1"/>
  <c r="M19" i="1"/>
  <c r="AM18" i="1"/>
  <c r="J19" i="1" l="1"/>
  <c r="AM17" i="1" l="1"/>
  <c r="AM16" i="1"/>
  <c r="AM15" i="1"/>
  <c r="AM14" i="1"/>
  <c r="AM13" i="1"/>
  <c r="AM12" i="1"/>
  <c r="AM11" i="1"/>
  <c r="AM10" i="1"/>
  <c r="AM9" i="1"/>
  <c r="AM8" i="1"/>
  <c r="AM7" i="1"/>
  <c r="AM6" i="1"/>
  <c r="AM5" i="1"/>
  <c r="R17" i="1" l="1"/>
  <c r="I3" i="2" l="1"/>
  <c r="I4" i="2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E16" i="1"/>
  <c r="V9" i="1"/>
  <c r="F31" i="1"/>
  <c r="V15" i="1"/>
  <c r="T15" i="1"/>
  <c r="V14" i="1"/>
  <c r="V13" i="1"/>
  <c r="T13" i="1"/>
  <c r="V12" i="1"/>
  <c r="T12" i="1"/>
  <c r="S12" i="1"/>
  <c r="R7" i="1"/>
  <c r="V10" i="1"/>
  <c r="T10" i="1"/>
  <c r="T16" i="1"/>
  <c r="T5" i="1"/>
  <c r="V11" i="1"/>
  <c r="Y19" i="1"/>
  <c r="AF17" i="1" l="1"/>
  <c r="AG17" i="1"/>
  <c r="AG16" i="1"/>
  <c r="AH16" i="1"/>
  <c r="Q18" i="1"/>
  <c r="Z18" i="1"/>
  <c r="Q10" i="1"/>
  <c r="Q12" i="1"/>
  <c r="Q9" i="1"/>
  <c r="Q14" i="1"/>
  <c r="Q8" i="1"/>
  <c r="Q5" i="1"/>
  <c r="Q7" i="1"/>
  <c r="Q6" i="1"/>
  <c r="Q13" i="1"/>
  <c r="Z13" i="1"/>
  <c r="Q11" i="1"/>
  <c r="Q16" i="1"/>
  <c r="Q15" i="1"/>
  <c r="Q17" i="1"/>
  <c r="Z17" i="1" s="1"/>
  <c r="AE15" i="1"/>
  <c r="AE14" i="1"/>
  <c r="AE13" i="1"/>
  <c r="AE12" i="1"/>
  <c r="T19" i="1"/>
  <c r="X19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5" i="1" l="1"/>
  <c r="Z12" i="1"/>
  <c r="AE5" i="1" l="1"/>
  <c r="Z5" i="1"/>
  <c r="AE10" i="1"/>
  <c r="AE8" i="1"/>
  <c r="P19" i="1"/>
  <c r="F32" i="1" s="1"/>
  <c r="F33" i="1" s="1"/>
  <c r="AE11" i="1"/>
  <c r="AE7" i="1"/>
  <c r="AE6" i="1"/>
  <c r="AE9" i="1"/>
  <c r="Q19" i="1"/>
  <c r="U8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<sst xmlns="http://schemas.openxmlformats.org/spreadsheetml/2006/main" count="89" uniqueCount="59">
  <si>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</si>
  <si>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</si>
  <si>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</si>
  <si>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</si>
  <si>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</si>
  <si>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</si>
  <si>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</si>
  <si>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</si>
  <si>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</si>
  <si>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</si>
  <si>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</si>
  <si>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</si>
  <si>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</si>
  <si>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</si>
  <si>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</si>
  <si>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</si>
  <si>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</si>
  <si>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</si>
  <si>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</si>
  <si>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>penyesuaian lebaran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</si>
  <si>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</si>
  <si>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</si>
  <si>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</si>
  <si>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</si>
  <si>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</si>
  <si>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</si>
  <si>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Arif</t>
  </si>
  <si>
    <t>telat meeting</t>
  </si>
  <si>
    <t>mepet</t>
  </si>
  <si>
    <t xml:space="preserve"> + </t>
  </si>
  <si>
    <t>Firman</t>
  </si>
  <si>
    <t>percobaan</t>
  </si>
  <si>
    <t>Gilang</t>
  </si>
  <si>
    <t xml:space="preserve"> - </t>
  </si>
  <si>
    <t>Henbediona</t>
  </si>
  <si>
    <t>ok</t>
  </si>
  <si>
    <t>Iman</t>
  </si>
  <si>
    <t>meeting</t>
  </si>
  <si>
    <t>Ridwan</t>
  </si>
  <si>
    <t>riniroma</t>
  </si>
  <si>
    <t>Ririn</t>
  </si>
  <si>
    <t>Ronald</t>
  </si>
  <si>
    <t>Yulika</t>
  </si>
  <si>
    <t>-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</si>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</sst>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mmmm\-yyyy"/>
    <numFmt numFmtId="165" formatCode="_(* #,##0_);_(* \(#,##0\);_(* &quot;-&quot;??_);_(@_)"/>
    <numFmt numFmtId="166" formatCode="_(* #,##0.00_);_(* \(#,##0.00\);_(* &quot;-&quot;??_);_(@_)"/>
    <numFmt numFmtId="167" formatCode="dd"/>
    <numFmt numFmtId="168" formatCode="#,##0;[Red]\(#,##0\)"/>
    <numFmt numFmtId="169" formatCode="mmmm\ yyyy"/>
  </numFmts>
  <fonts count="32">
    <font>
      <sz val="11"/>
      <name val="Calibri"/>
      <family val="2"/>
    </font>
    <font>
      <sz val="12"/>
      <color rgb="FF000000"/>
      <name val="Calibri"/>
    </font>
    <font>
      <b/>
      <sz val="20"/>
      <color theme="1"/>
      <name val="Calibri"/>
    </font>
    <font>
      <sz val="12"/>
      <color rgb="FF1F3964"/>
      <name val="Arial"/>
    </font>
    <font>
      <sz val="10"/>
      <color rgb="FF1F3964"/>
      <name val="Arial"/>
    </font>
    <font>
      <sz val="12"/>
      <color rgb="FF333333"/>
      <name val="Arial"/>
    </font>
    <font>
      <b/>
      <sz val="12"/>
      <name val="Arial"/>
    </font>
    <font>
      <sz val="12"/>
      <name val="Arial"/>
    </font>
    <font>
      <sz val="12"/>
      <color rgb="FFFF0000"/>
      <name val="Arial"/>
    </font>
    <font>
      <sz val="12"/>
      <name val="Calibri"/>
    </font>
    <font>
      <b/>
      <sz val="12"/>
      <color theme="4" tint="-0.499984740745262"/>
      <name val="Arial"/>
    </font>
    <font>
      <sz val="11"/>
      <color rgb="FF1F3964"/>
      <name val="Arial"/>
    </font>
    <font>
      <sz val="11"/>
      <color rgb="FF1F3964"/>
      <name val="Verdana"/>
    </font>
    <font>
      <sz val="11"/>
      <color theme="3"/>
      <name val="Calibri"/>
    </font>
    <font>
      <sz val="12"/>
      <color theme="4" tint="-0.499984740745262"/>
      <name val="Arial"/>
    </font>
    <font>
      <sz val="11"/>
      <color rgb="FF000000"/>
      <name val="Calibri"/>
    </font>
    <font>
      <sz val="11"/>
      <color theme="0" tint="-0.34998626667073579"/>
      <name val="Calibri"/>
    </font>
    <font>
      <sz val="10"/>
      <color rgb="FF002060"/>
      <name val="Calibri"/>
      <scheme val="minor"/>
    </font>
    <font>
      <b/>
      <sz val="12"/>
      <color rgb="FF000000"/>
      <name val="Calibri"/>
    </font>
    <font>
      <sz val="12"/>
      <color theme="1"/>
      <name val="Arial"/>
    </font>
    <font>
      <sz val="12"/>
      <color theme="0"/>
      <name val="Arial"/>
    </font>
    <font>
      <sz val="12"/>
      <color rgb="FF435369"/>
      <name val="Arial"/>
    </font>
    <font>
      <sz val="9"/>
      <color rgb="FF000000"/>
      <name val="Calibri"/>
    </font>
    <font>
      <b/>
      <sz val="12"/>
      <color rgb="FF435369"/>
      <name val="Arial"/>
    </font>
    <font>
      <sz val="11"/>
      <color rgb="FFFFFF00"/>
      <name val="Calibri"/>
    </font>
    <font>
      <sz val="11"/>
      <name val="Calibri"/>
      <charset val="134"/>
    </font>
    <font>
      <sz val="11"/>
      <name val="Calibri"/>
      <scheme val="minor"/>
    </font>
    <font>
      <sz val="11"/>
      <name val="Calibri"/>
      <family val="2"/>
    </font>
    <font>
      <i/>
      <sz val="12"/>
      <color rgb="FF1F3964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color rgb="FF1F396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25" fillId="0" borderId="0">
      <alignment vertical="center"/>
    </xf>
    <xf numFmtId="41" fontId="25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7" fillId="0" borderId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2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41" fontId="3" fillId="4" borderId="4" xfId="2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horizontal="right" vertical="center"/>
    </xf>
    <xf numFmtId="41" fontId="6" fillId="0" borderId="2" xfId="3" applyFont="1" applyFill="1" applyBorder="1" applyAlignment="1">
      <alignment horizontal="right" vertical="center" wrapText="1"/>
    </xf>
    <xf numFmtId="41" fontId="3" fillId="0" borderId="2" xfId="3" applyFont="1" applyFill="1" applyBorder="1" applyAlignment="1">
      <alignment horizontal="right" vertical="center" wrapText="1"/>
    </xf>
    <xf numFmtId="37" fontId="3" fillId="0" borderId="2" xfId="3" applyNumberFormat="1" applyFont="1" applyFill="1" applyBorder="1" applyAlignment="1">
      <alignment horizontal="right" vertical="center" wrapText="1"/>
    </xf>
    <xf numFmtId="165" fontId="3" fillId="4" borderId="4" xfId="4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65" fontId="0" fillId="0" borderId="0" xfId="5" applyNumberFormat="1" applyFont="1" applyFill="1" applyAlignment="1">
      <alignment vertical="center"/>
    </xf>
    <xf numFmtId="0" fontId="3" fillId="0" borderId="0" xfId="0" applyFont="1" applyAlignment="1">
      <alignment horizontal="left"/>
    </xf>
    <xf numFmtId="41" fontId="3" fillId="5" borderId="4" xfId="2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2" borderId="0" xfId="0" applyFont="1" applyFill="1" applyAlignment="1"/>
    <xf numFmtId="0" fontId="3" fillId="4" borderId="4" xfId="1" applyFont="1" applyFill="1" applyBorder="1" applyAlignment="1">
      <alignment horizontal="left" vertical="center"/>
    </xf>
    <xf numFmtId="3" fontId="5" fillId="0" borderId="0" xfId="1" applyNumberFormat="1" applyFont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65" fontId="0" fillId="2" borderId="0" xfId="5" applyNumberFormat="1" applyFont="1" applyFill="1" applyAlignment="1">
      <alignment vertical="center"/>
    </xf>
    <xf numFmtId="0" fontId="3" fillId="2" borderId="0" xfId="0" applyFont="1" applyFill="1" applyAlignment="1">
      <alignment horizontal="left"/>
    </xf>
    <xf numFmtId="41" fontId="8" fillId="0" borderId="2" xfId="3" applyFont="1" applyFill="1" applyBorder="1" applyAlignment="1">
      <alignment horizontal="right" vertical="center" wrapText="1"/>
    </xf>
    <xf numFmtId="165" fontId="5" fillId="0" borderId="0" xfId="4" applyNumberFormat="1" applyFont="1" applyAlignment="1">
      <alignment horizontal="right" vertical="center"/>
    </xf>
    <xf numFmtId="0" fontId="9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41" fontId="7" fillId="0" borderId="2" xfId="3" applyFont="1" applyFill="1" applyBorder="1" applyAlignment="1">
      <alignment horizontal="right" vertical="center" wrapText="1"/>
    </xf>
    <xf numFmtId="37" fontId="7" fillId="0" borderId="2" xfId="3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41" fontId="7" fillId="0" borderId="2" xfId="3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1" fontId="3" fillId="0" borderId="2" xfId="3" applyFont="1" applyFill="1" applyBorder="1" applyAlignment="1">
      <alignment horizontal="center" vertical="center"/>
    </xf>
    <xf numFmtId="41" fontId="10" fillId="0" borderId="2" xfId="3" applyFont="1" applyFill="1" applyBorder="1" applyAlignment="1">
      <alignment horizontal="righ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1" fontId="12" fillId="0" borderId="2" xfId="3" applyFont="1" applyFill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3" fillId="0" borderId="2" xfId="0" applyFont="1" applyBorder="1" applyAlignment="1">
      <alignment horizontal="center" vertical="center"/>
    </xf>
    <xf numFmtId="0" fontId="3" fillId="0" borderId="2" xfId="6" applyFont="1" applyBorder="1" applyAlignment="1">
      <alignment horizontal="left" vertical="center"/>
    </xf>
    <xf numFmtId="0" fontId="3" fillId="0" borderId="2" xfId="6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41" fontId="14" fillId="0" borderId="2" xfId="3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right" vertical="center"/>
    </xf>
    <xf numFmtId="41" fontId="3" fillId="3" borderId="2" xfId="3" applyFont="1" applyFill="1" applyBorder="1" applyAlignment="1">
      <alignment horizontal="right" vertical="center"/>
    </xf>
    <xf numFmtId="37" fontId="3" fillId="3" borderId="2" xfId="3" applyNumberFormat="1" applyFont="1" applyFill="1" applyBorder="1" applyAlignment="1">
      <alignment horizontal="right" vertical="center"/>
    </xf>
    <xf numFmtId="165" fontId="0" fillId="3" borderId="0" xfId="5" applyNumberFormat="1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18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65" fontId="20" fillId="0" borderId="0" xfId="5" applyNumberFormat="1" applyFont="1" applyFill="1" applyAlignment="1">
      <alignment horizontal="left"/>
    </xf>
    <xf numFmtId="166" fontId="20" fillId="0" borderId="0" xfId="0" applyNumberFormat="1" applyFont="1" applyAlignment="1">
      <alignment horizontal="left"/>
    </xf>
    <xf numFmtId="41" fontId="21" fillId="0" borderId="0" xfId="3" applyFont="1" applyFill="1" applyAlignment="1" applyProtection="1">
      <alignment horizontal="right" vertical="center"/>
    </xf>
    <xf numFmtId="0" fontId="21" fillId="0" borderId="0" xfId="7" applyFont="1" applyProtection="1"/>
    <xf numFmtId="165" fontId="20" fillId="0" borderId="0" xfId="0" applyNumberFormat="1" applyFont="1" applyAlignment="1">
      <alignment horizontal="left"/>
    </xf>
    <xf numFmtId="167" fontId="1" fillId="0" borderId="0" xfId="0" applyNumberFormat="1" applyFont="1" applyAlignment="1"/>
    <xf numFmtId="165" fontId="22" fillId="0" borderId="0" xfId="5" applyNumberFormat="1" applyFont="1" applyAlignment="1"/>
    <xf numFmtId="41" fontId="3" fillId="0" borderId="5" xfId="3" applyFont="1" applyFill="1" applyBorder="1" applyAlignment="1">
      <alignment horizontal="right" vertical="center"/>
    </xf>
    <xf numFmtId="0" fontId="21" fillId="0" borderId="0" xfId="7" applyFont="1" applyAlignment="1" applyProtection="1">
      <alignment horizontal="center"/>
    </xf>
    <xf numFmtId="41" fontId="23" fillId="0" borderId="0" xfId="3" applyFont="1" applyFill="1" applyAlignment="1" applyProtection="1">
      <alignment horizontal="right" vertical="center"/>
    </xf>
    <xf numFmtId="168" fontId="21" fillId="0" borderId="0" xfId="3" applyNumberFormat="1" applyFont="1" applyFill="1" applyAlignment="1" applyProtection="1">
      <alignment horizontal="right" vertical="center"/>
    </xf>
    <xf numFmtId="41" fontId="0" fillId="0" borderId="0" xfId="0" applyNumberFormat="1">
      <alignment vertical="center"/>
    </xf>
    <xf numFmtId="169" fontId="0" fillId="0" borderId="0" xfId="0" applyNumberFormat="1">
      <alignment vertical="center"/>
    </xf>
    <xf numFmtId="167" fontId="0" fillId="0" borderId="0" xfId="0" applyNumberFormat="1" applyAlignment="1">
      <alignment horizontal="center" vertical="center"/>
    </xf>
    <xf numFmtId="0" fontId="24" fillId="10" borderId="0" xfId="0" applyFont="1" applyFill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9" fillId="9" borderId="0" xfId="7" applyFont="1" applyFill="1" applyAlignment="1" applyProtection="1">
      <alignment horizontal="right" vertical="center"/>
    </xf>
    <xf numFmtId="0" fontId="19" fillId="8" borderId="0" xfId="7" applyFont="1" applyFill="1" applyAlignment="1" applyProtection="1">
      <alignment horizontal="right" vertical="center"/>
    </xf>
    <xf numFmtId="3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164" fontId="2" fillId="0" borderId="1" xfId="0" applyNumberFormat="1" applyFont="1" applyBorder="1" applyAlignment="1">
      <alignment horizontal="left"/>
    </xf>
    <xf numFmtId="22" fontId="17" fillId="0" borderId="5" xfId="0" applyNumberFormat="1" applyFont="1" applyBorder="1" applyAlignment="1">
      <alignment horizontal="center" vertical="center"/>
    </xf>
    <xf numFmtId="41" fontId="3" fillId="7" borderId="0" xfId="3" applyFont="1" applyFill="1" applyAlignment="1">
      <alignment horizontal="right" vertical="center"/>
    </xf>
    <xf numFmtId="0" fontId="28" fillId="11" borderId="4" xfId="1" applyFont="1" applyFill="1" applyBorder="1" applyAlignment="1">
      <alignment horizontal="left" vertical="center" wrapText="1"/>
    </xf>
    <xf numFmtId="0" fontId="28" fillId="11" borderId="4" xfId="1" applyFont="1" applyFill="1" applyBorder="1" applyAlignment="1">
      <alignment horizontal="center" vertical="center"/>
    </xf>
    <xf numFmtId="0" fontId="28" fillId="11" borderId="4" xfId="1" applyFont="1" applyFill="1" applyBorder="1" applyAlignment="1">
      <alignment horizontal="center" vertical="center" wrapText="1"/>
    </xf>
    <xf numFmtId="41" fontId="28" fillId="11" borderId="4" xfId="2" applyFont="1" applyFill="1" applyBorder="1" applyAlignment="1">
      <alignment horizontal="center" vertical="center"/>
    </xf>
    <xf numFmtId="0" fontId="28" fillId="11" borderId="4" xfId="1" applyFont="1" applyFill="1" applyBorder="1" applyAlignment="1">
      <alignment horizontal="right" vertical="center"/>
    </xf>
    <xf numFmtId="0" fontId="29" fillId="11" borderId="4" xfId="1" applyFont="1" applyFill="1" applyBorder="1" applyAlignment="1">
      <alignment horizontal="right" vertical="center" wrapText="1"/>
    </xf>
    <xf numFmtId="0" fontId="29" fillId="11" borderId="4" xfId="1" applyFont="1" applyFill="1" applyBorder="1" applyAlignment="1">
      <alignment horizontal="right" vertical="center"/>
    </xf>
    <xf numFmtId="41" fontId="30" fillId="11" borderId="2" xfId="3" applyFont="1" applyFill="1" applyBorder="1" applyAlignment="1">
      <alignment horizontal="right" vertical="center" wrapText="1"/>
    </xf>
    <xf numFmtId="41" fontId="29" fillId="11" borderId="2" xfId="3" applyFont="1" applyFill="1" applyBorder="1" applyAlignment="1">
      <alignment horizontal="right" vertical="center" wrapText="1"/>
    </xf>
    <xf numFmtId="41" fontId="28" fillId="11" borderId="2" xfId="3" applyFont="1" applyFill="1" applyBorder="1" applyAlignment="1">
      <alignment horizontal="right" vertical="center" wrapText="1"/>
    </xf>
    <xf numFmtId="37" fontId="29" fillId="11" borderId="2" xfId="3" applyNumberFormat="1" applyFont="1" applyFill="1" applyBorder="1" applyAlignment="1">
      <alignment horizontal="right" vertical="center" wrapText="1"/>
    </xf>
    <xf numFmtId="165" fontId="28" fillId="11" borderId="4" xfId="4" applyNumberFormat="1" applyFont="1" applyFill="1" applyBorder="1" applyAlignment="1">
      <alignment horizontal="right" vertical="center" wrapText="1"/>
    </xf>
    <xf numFmtId="0" fontId="31" fillId="4" borderId="4" xfId="1" applyFont="1" applyFill="1" applyBorder="1" applyAlignment="1">
      <alignment horizontal="left" vertical="center" wrapText="1"/>
    </xf>
  </cellXfs>
  <cellStyles count="22">
    <cellStyle name="Comma" xfId="5" builtinId="3"/>
    <cellStyle name="Comma [0]" xfId="3" builtinId="6"/>
    <cellStyle name="Comma [0] 2" xfId="2" xr:uid="{00000000-0005-0000-0000-000002000000}"/>
    <cellStyle name="Comma 2" xfId="4" xr:uid="{00000000-0005-0000-0000-000004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" xr:uid="{00000000-0005-0000-0000-000001000000}"/>
    <cellStyle name="Normal 3" xfId="6" xr:uid="{00000000-0005-0000-0000-000006000000}"/>
    <cellStyle name="Normal 4" xfId="9" xr:uid="{00000000-0005-0000-0000-000009000000}"/>
    <cellStyle name="Style 10" xfId="18" xr:uid="{00000000-0005-0000-0000-000012000000}"/>
    <cellStyle name="Style 11" xfId="19" xr:uid="{00000000-0005-0000-0000-000013000000}"/>
    <cellStyle name="Style 12" xfId="20" xr:uid="{00000000-0005-0000-0000-000014000000}"/>
    <cellStyle name="Style 13" xfId="21" xr:uid="{00000000-0005-0000-0000-000015000000}"/>
    <cellStyle name="Style 2" xfId="10" xr:uid="{00000000-0005-0000-0000-00000A000000}"/>
    <cellStyle name="Style 3" xfId="11" xr:uid="{00000000-0005-0000-0000-00000B000000}"/>
    <cellStyle name="Style 4" xfId="12" xr:uid="{00000000-0005-0000-0000-00000C000000}"/>
    <cellStyle name="Style 5" xfId="13" xr:uid="{00000000-0005-0000-0000-00000D000000}"/>
    <cellStyle name="Style 6" xfId="14" xr:uid="{00000000-0005-0000-0000-00000E000000}"/>
    <cellStyle name="Style 7" xfId="15" xr:uid="{00000000-0005-0000-0000-00000F000000}"/>
    <cellStyle name="Style 8" xfId="16" xr:uid="{00000000-0005-0000-0000-000010000000}"/>
    <cellStyle name="Style 9" xfId="17" xr:uid="{00000000-0005-0000-0000-00001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47"/>
  <sheetViews>
    <sheetView tabSelected="1" topLeftCell="A2" zoomScale="85" zoomScaleNormal="85" workbookViewId="0">
      <selection activeCell="M31" sqref="M31"/>
    </sheetView>
  </sheetViews>
  <sheetFormatPr defaultColWidth="10" defaultRowHeight="1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0.85546875" bestFit="1" customWidth="1"/>
    <col min="7" max="14" width="7.7109375" customWidth="1"/>
    <col min="15" max="15" width="7.28515625" customWidth="1"/>
    <col min="16" max="16" width="10.85546875" customWidth="1"/>
    <col min="17" max="22" width="13.7109375" customWidth="1"/>
    <col min="23" max="23" width="13.7109375" hidden="1" customWidth="1"/>
    <col min="24" max="25" width="13.7109375" customWidth="1"/>
    <col min="26" max="26" width="15.1406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2" ht="26.2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42" ht="26.25">
      <c r="A3" s="2"/>
      <c r="B3" s="106">
        <v>46023</v>
      </c>
      <c r="C3" s="106"/>
      <c r="D3" s="10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42" ht="45">
      <c r="A4" s="2"/>
      <c r="B4" s="4" t="s">
        <v>1</v>
      </c>
      <c r="C4" s="4" t="s">
        <v>2</v>
      </c>
      <c r="D4" s="5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4</v>
      </c>
      <c r="S4" s="4" t="s">
        <v>5</v>
      </c>
      <c r="T4" s="4" t="s">
        <v>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22</v>
      </c>
      <c r="AE4" s="6" t="s">
        <v>22</v>
      </c>
      <c r="AF4" s="7" t="s">
        <v>23</v>
      </c>
      <c r="AG4" s="7" t="s">
        <v>24</v>
      </c>
      <c r="AH4" s="4" t="s">
        <v>22</v>
      </c>
      <c r="AI4" s="99" t="s">
        <v>23</v>
      </c>
      <c r="AJ4" s="100"/>
      <c r="AL4" t="s">
        <v>25</v>
      </c>
    </row>
    <row r="5" spans="1:42" ht="26.1" customHeight="1">
      <c r="A5" s="2"/>
      <c r="B5" s="8">
        <v>1</v>
      </c>
      <c r="C5" s="121" t="s">
        <v>26</v>
      </c>
      <c r="D5" s="10" t="s">
        <v>3</v>
      </c>
      <c r="E5" s="11" t="s">
        <v>27</v>
      </c>
      <c r="F5" s="12" t="s">
        <v>28</v>
      </c>
      <c r="G5" s="12">
        <v>1</v>
      </c>
      <c r="H5" s="12"/>
      <c r="I5" s="13" t="s">
        <v>29</v>
      </c>
      <c r="J5" s="12"/>
      <c r="K5" s="12"/>
      <c r="L5" s="14">
        <v>35</v>
      </c>
      <c r="M5" s="14">
        <v>72</v>
      </c>
      <c r="N5" s="15">
        <v>119</v>
      </c>
      <c r="O5" s="14"/>
      <c r="P5" s="16">
        <f t="shared" ref="P5:P14" si="0">SUM(L5:O5)</f>
        <v>226</v>
      </c>
      <c r="Q5" s="17">
        <f>((data!$A$3/8)*L5)+((data!$B$3/8)*(M5+N5+O5))+(P5*$E$25)</f>
        <v>1106125</v>
      </c>
      <c r="R5" s="17">
        <f t="shared" ref="R5:R14" si="1">IF(D5="Percobaan",0,IF(AND(E5="",G5&gt;0,H5="ok"),100000,IF(AND(E5="",G5&gt;0,H5=""),50000,IF(AND(E5=""),100000,0))))</f>
        <v>0</v>
      </c>
      <c r="S5" s="17">
        <v>0</v>
      </c>
      <c r="T5" s="17">
        <f t="shared" ref="T5:T7" si="2">IF(AND(G5&gt;0,H5=""),50000,IF(AND(G5&gt;0,H5="ok"),G5*50000,0))</f>
        <v>50000</v>
      </c>
      <c r="U5" s="17">
        <f>IF(I5="+",P5/8*3000,IF(I5="-",0,P5/8*2000))</f>
        <v>56500</v>
      </c>
      <c r="V5" s="18">
        <f t="shared" ref="V5:V7" si="3">J5*-12500</f>
        <v>0</v>
      </c>
      <c r="W5" s="17"/>
      <c r="X5" s="17">
        <f t="shared" ref="X5:X12" si="4">IF(K5="ok",50000+AB5,0+AB5)</f>
        <v>0</v>
      </c>
      <c r="Y5" s="19">
        <v>400</v>
      </c>
      <c r="Z5" s="17">
        <f t="shared" ref="Z5:Z16" si="5">CEILING(SUM(Q5:Y5),500)</f>
        <v>1213500</v>
      </c>
      <c r="AE5">
        <f t="shared" ref="AE5:AE16" si="6">P5/8</f>
        <v>28.25</v>
      </c>
      <c r="AG5">
        <f t="shared" ref="AG5:AG11" si="7">AE5-AF5</f>
        <v>28.25</v>
      </c>
      <c r="AH5">
        <f>AE5+AJ5</f>
        <v>28.25</v>
      </c>
      <c r="AI5" s="20"/>
      <c r="AJ5">
        <f>AI5/8</f>
        <v>0</v>
      </c>
      <c r="AL5" s="21">
        <v>565000</v>
      </c>
      <c r="AM5" t="str">
        <f>C5</f>
        <v>Arif</v>
      </c>
      <c r="AO5" s="22"/>
      <c r="AP5">
        <f>AO5*AN5</f>
        <v>0</v>
      </c>
    </row>
    <row r="6" spans="1:42" ht="26.1" customHeight="1">
      <c r="A6" s="2"/>
      <c r="B6" s="8">
        <v>3</v>
      </c>
      <c r="C6" s="9" t="s">
        <v>30</v>
      </c>
      <c r="D6" s="10" t="s">
        <v>31</v>
      </c>
      <c r="E6" s="12"/>
      <c r="F6" s="10"/>
      <c r="G6" s="10"/>
      <c r="H6" s="10"/>
      <c r="I6" s="23"/>
      <c r="J6" s="12"/>
      <c r="K6" s="10"/>
      <c r="L6" s="24"/>
      <c r="M6" s="15"/>
      <c r="N6" s="15">
        <v>16</v>
      </c>
      <c r="O6" s="25"/>
      <c r="P6" s="16">
        <f t="shared" si="0"/>
        <v>16</v>
      </c>
      <c r="Q6" s="17">
        <f>((data!$A$3/8)*L6)+((data!$B$3/8)*(M6+N6+O6))+(P6*$E$25)</f>
        <v>78000</v>
      </c>
      <c r="R6" s="17">
        <f t="shared" si="1"/>
        <v>0</v>
      </c>
      <c r="S6" s="17">
        <f t="shared" ref="S6:S7" si="8">((P6/8)*1000)</f>
        <v>2000</v>
      </c>
      <c r="T6" s="17">
        <f t="shared" si="2"/>
        <v>0</v>
      </c>
      <c r="U6" s="17">
        <f>IF(I6="+",P6/8*3000,IF(I6="-",0,P6/8*2000))</f>
        <v>4000</v>
      </c>
      <c r="V6" s="18">
        <f t="shared" si="3"/>
        <v>0</v>
      </c>
      <c r="W6" s="17"/>
      <c r="X6" s="17">
        <v>90000</v>
      </c>
      <c r="Y6" s="19">
        <v>400</v>
      </c>
      <c r="Z6" s="17">
        <f t="shared" si="5"/>
        <v>174500</v>
      </c>
      <c r="AE6">
        <f t="shared" si="6"/>
        <v>2</v>
      </c>
      <c r="AG6">
        <f t="shared" si="7"/>
        <v>2</v>
      </c>
      <c r="AH6">
        <f t="shared" ref="AH6:AH16" si="9">AE6+AJ6</f>
        <v>2</v>
      </c>
      <c r="AI6" s="26"/>
      <c r="AJ6">
        <f t="shared" ref="AJ6:AJ15" si="10">AI6/8</f>
        <v>0</v>
      </c>
      <c r="AL6" s="21">
        <v>774500</v>
      </c>
      <c r="AM6" t="str">
        <f t="shared" ref="AM6:AM18" si="11">C6</f>
        <v>Firman</v>
      </c>
      <c r="AO6" s="22"/>
      <c r="AP6">
        <f t="shared" ref="AP6:AP17" si="12">AO6*AN6</f>
        <v>0</v>
      </c>
    </row>
    <row r="7" spans="1:42" s="1" customFormat="1" ht="26.1" customHeight="1">
      <c r="A7" s="27"/>
      <c r="B7" s="8">
        <v>2</v>
      </c>
      <c r="C7" s="28" t="s">
        <v>32</v>
      </c>
      <c r="D7" s="10" t="s">
        <v>3</v>
      </c>
      <c r="E7" s="12"/>
      <c r="F7" s="10"/>
      <c r="G7" s="10">
        <v>1</v>
      </c>
      <c r="H7" s="10"/>
      <c r="I7" s="23" t="s">
        <v>33</v>
      </c>
      <c r="J7" s="12"/>
      <c r="K7" s="10"/>
      <c r="L7" s="25">
        <v>7</v>
      </c>
      <c r="M7" s="25">
        <v>24</v>
      </c>
      <c r="N7" s="15">
        <v>32</v>
      </c>
      <c r="O7" s="25">
        <v>128</v>
      </c>
      <c r="P7" s="16">
        <f t="shared" si="0"/>
        <v>191</v>
      </c>
      <c r="Q7" s="17">
        <f>((data!$A$3/8)*L7)+((data!$B$3/8)*(M7+N7+O7))+(P7*$E$25)</f>
        <v>932000</v>
      </c>
      <c r="R7" s="17">
        <f t="shared" si="1"/>
        <v>50000</v>
      </c>
      <c r="S7" s="17">
        <f t="shared" si="8"/>
        <v>23875</v>
      </c>
      <c r="T7" s="17">
        <f t="shared" si="2"/>
        <v>50000</v>
      </c>
      <c r="U7" s="17">
        <f>IF(I7="+",P7/8*3000,IF(I7="-",0,P7/8*2000))</f>
        <v>47750</v>
      </c>
      <c r="V7" s="18">
        <f t="shared" si="3"/>
        <v>0</v>
      </c>
      <c r="W7" s="17"/>
      <c r="X7" s="17">
        <f t="shared" si="4"/>
        <v>0</v>
      </c>
      <c r="Y7" s="29">
        <v>4800</v>
      </c>
      <c r="Z7" s="17">
        <f t="shared" si="5"/>
        <v>1108500</v>
      </c>
      <c r="AE7" s="1">
        <f t="shared" si="6"/>
        <v>23.875</v>
      </c>
      <c r="AG7" s="1">
        <f t="shared" si="7"/>
        <v>23.875</v>
      </c>
      <c r="AH7" s="1">
        <f t="shared" si="9"/>
        <v>23.875</v>
      </c>
      <c r="AI7" s="30"/>
      <c r="AJ7" s="1">
        <f t="shared" si="10"/>
        <v>0</v>
      </c>
      <c r="AL7" s="31">
        <v>959000</v>
      </c>
      <c r="AM7" s="1" t="str">
        <f t="shared" si="11"/>
        <v>Gilang</v>
      </c>
      <c r="AO7" s="32"/>
      <c r="AP7" s="1">
        <f t="shared" si="12"/>
        <v>0</v>
      </c>
    </row>
    <row r="8" spans="1:42" ht="26.1" customHeight="1">
      <c r="A8" s="2"/>
      <c r="B8" s="8">
        <v>4</v>
      </c>
      <c r="C8" s="28" t="s">
        <v>34</v>
      </c>
      <c r="D8" s="10" t="s">
        <v>43</v>
      </c>
      <c r="E8" s="11" t="s">
        <v>43</v>
      </c>
      <c r="F8" s="10" t="s">
        <v>28</v>
      </c>
      <c r="G8" s="10">
        <v>0</v>
      </c>
      <c r="H8" s="10" t="s">
        <v>35</v>
      </c>
      <c r="I8" s="23" t="s">
        <v>33</v>
      </c>
      <c r="J8" s="12"/>
      <c r="K8" s="10"/>
      <c r="L8" s="25"/>
      <c r="M8" s="15">
        <v>64</v>
      </c>
      <c r="N8" s="25">
        <v>126</v>
      </c>
      <c r="O8" s="25"/>
      <c r="P8" s="16">
        <f t="shared" si="0"/>
        <v>190</v>
      </c>
      <c r="Q8" s="17">
        <f>((data!$A$3/8)*L8)+((data!$B$3/8)*(M8+N8+O8))+(P8*$E$25)</f>
        <v>926250</v>
      </c>
      <c r="R8" s="17">
        <f t="shared" si="1"/>
        <v>0</v>
      </c>
      <c r="S8" s="17">
        <v>0</v>
      </c>
      <c r="T8" s="17">
        <f t="shared" ref="T8:T16" si="13">IF(AND(G8&gt;0,H8=""),50000,IF(AND(G8&gt;0,H8="ok"),G8*50000,0))</f>
        <v>0</v>
      </c>
      <c r="U8" s="17">
        <f>IF(I8="+",P8/8*3000,IF(I8="-",0,P8/8*2000))</f>
        <v>47500</v>
      </c>
      <c r="V8" s="18">
        <f t="shared" ref="V8:V16" si="14">J8*-12500</f>
        <v>0</v>
      </c>
      <c r="W8" s="33"/>
      <c r="X8" s="17">
        <f t="shared" si="4"/>
        <v>0</v>
      </c>
      <c r="Y8" s="19">
        <v>23600</v>
      </c>
      <c r="Z8" s="17">
        <f t="shared" si="5"/>
        <v>997500</v>
      </c>
      <c r="AE8">
        <f t="shared" si="6"/>
        <v>23.75</v>
      </c>
      <c r="AG8">
        <f t="shared" si="7"/>
        <v>23.75</v>
      </c>
      <c r="AH8">
        <f t="shared" si="9"/>
        <v>23.75</v>
      </c>
      <c r="AI8" s="26"/>
      <c r="AJ8">
        <f t="shared" si="10"/>
        <v>0</v>
      </c>
      <c r="AL8" s="21">
        <v>1158000</v>
      </c>
      <c r="AM8" t="str">
        <f t="shared" ref="AM8:AM15" si="15">C8</f>
        <v>Henbediona</v>
      </c>
      <c r="AO8" s="22"/>
      <c r="AP8">
        <f t="shared" si="12"/>
        <v>0</v>
      </c>
    </row>
    <row r="9" spans="1:42" ht="26.1" customHeight="1">
      <c r="A9" s="2"/>
      <c r="B9" s="8">
        <v>5</v>
      </c>
      <c r="C9" s="9" t="s">
        <v>36</v>
      </c>
      <c r="D9" s="10" t="s">
        <v>31</v>
      </c>
      <c r="E9" s="11" t="s">
        <v>37</v>
      </c>
      <c r="F9" s="10"/>
      <c r="G9" s="10"/>
      <c r="H9" s="10"/>
      <c r="I9" s="23" t="s">
        <v>33</v>
      </c>
      <c r="J9" s="12"/>
      <c r="K9" s="10"/>
      <c r="L9" s="15">
        <v>93</v>
      </c>
      <c r="M9" s="25">
        <v>16</v>
      </c>
      <c r="N9" s="15">
        <v>36</v>
      </c>
      <c r="O9" s="25"/>
      <c r="P9" s="16">
        <f t="shared" si="0"/>
        <v>145</v>
      </c>
      <c r="Q9" s="17">
        <f>((data!$A$3/8)*L9)+((data!$B$3/8)*(M9+N9+O9))+(P9*$E$25)</f>
        <v>718500</v>
      </c>
      <c r="R9" s="17">
        <f t="shared" si="1"/>
        <v>0</v>
      </c>
      <c r="S9" s="17">
        <f t="shared" ref="S9:S17" si="16">((P9/8)*1000)</f>
        <v>18125</v>
      </c>
      <c r="T9" s="17">
        <f t="shared" si="13"/>
        <v>0</v>
      </c>
      <c r="U9" s="17">
        <f t="shared" ref="U9:U11" si="17">IF(I9="+",P9/8*3000,IF(I9="-",0,P9/8*2000))</f>
        <v>36250</v>
      </c>
      <c r="V9" s="18">
        <f t="shared" si="14"/>
        <v>0</v>
      </c>
      <c r="W9" s="17"/>
      <c r="X9" s="17">
        <f t="shared" si="4"/>
        <v>0</v>
      </c>
      <c r="Y9" s="34"/>
      <c r="Z9" s="17">
        <f t="shared" si="5"/>
        <v>773000</v>
      </c>
      <c r="AE9">
        <f t="shared" si="6"/>
        <v>18.125</v>
      </c>
      <c r="AG9">
        <f t="shared" si="7"/>
        <v>18.125</v>
      </c>
      <c r="AH9">
        <f t="shared" si="9"/>
        <v>18.125</v>
      </c>
      <c r="AI9" s="26"/>
      <c r="AJ9">
        <f t="shared" si="10"/>
        <v>0</v>
      </c>
      <c r="AL9" s="21">
        <v>812500</v>
      </c>
      <c r="AM9" t="str">
        <f t="shared" si="15"/>
        <v>Iman</v>
      </c>
      <c r="AO9" s="22"/>
      <c r="AP9">
        <f t="shared" si="12"/>
        <v>0</v>
      </c>
    </row>
    <row r="10" spans="1:42" ht="26.1" customHeight="1">
      <c r="A10" s="2"/>
      <c r="B10" s="8">
        <v>6</v>
      </c>
      <c r="C10" s="9" t="s">
        <v>38</v>
      </c>
      <c r="D10" s="10" t="s">
        <v>31</v>
      </c>
      <c r="E10" s="12" t="s">
        <v>37</v>
      </c>
      <c r="F10" s="10"/>
      <c r="G10" s="10"/>
      <c r="H10" s="10"/>
      <c r="I10" s="23" t="s">
        <v>29</v>
      </c>
      <c r="J10" s="12"/>
      <c r="K10" s="10"/>
      <c r="L10" s="15">
        <v>128</v>
      </c>
      <c r="M10" s="15">
        <v>28</v>
      </c>
      <c r="N10" s="24">
        <v>97</v>
      </c>
      <c r="O10" s="24"/>
      <c r="P10" s="16">
        <f t="shared" si="0"/>
        <v>253</v>
      </c>
      <c r="Q10" s="17">
        <f>((data!$A$3/8)*L10)+((data!$B$3/8)*(M10+N10+O10))+(P10*$E$25)</f>
        <v>1249375</v>
      </c>
      <c r="R10" s="17">
        <f t="shared" si="1"/>
        <v>0</v>
      </c>
      <c r="S10" s="17">
        <f t="shared" si="16"/>
        <v>31625</v>
      </c>
      <c r="T10" s="17">
        <f t="shared" si="13"/>
        <v>0</v>
      </c>
      <c r="U10" s="17">
        <f t="shared" si="17"/>
        <v>63250</v>
      </c>
      <c r="V10" s="18">
        <f t="shared" si="14"/>
        <v>0</v>
      </c>
      <c r="W10" s="17"/>
      <c r="X10" s="17">
        <f t="shared" si="4"/>
        <v>0</v>
      </c>
      <c r="Y10" s="19">
        <v>800</v>
      </c>
      <c r="Z10" s="17">
        <f t="shared" si="5"/>
        <v>1345500</v>
      </c>
      <c r="AE10">
        <f t="shared" si="6"/>
        <v>31.625</v>
      </c>
      <c r="AG10">
        <f t="shared" si="7"/>
        <v>31.625</v>
      </c>
      <c r="AH10">
        <f t="shared" si="9"/>
        <v>31.625</v>
      </c>
      <c r="AI10" s="26"/>
      <c r="AJ10">
        <f t="shared" si="10"/>
        <v>0</v>
      </c>
      <c r="AL10" s="21">
        <v>1232000</v>
      </c>
      <c r="AM10" t="str">
        <f t="shared" si="15"/>
        <v>Ridwan</v>
      </c>
      <c r="AO10" s="22"/>
      <c r="AP10">
        <f t="shared" si="12"/>
        <v>0</v>
      </c>
    </row>
    <row r="11" spans="1:42" ht="26.1" customHeight="1">
      <c r="A11" s="35"/>
      <c r="B11" s="36">
        <v>7</v>
      </c>
      <c r="C11" s="9" t="s">
        <v>39</v>
      </c>
      <c r="D11" s="10" t="s">
        <v>3</v>
      </c>
      <c r="E11" s="12"/>
      <c r="F11" s="10"/>
      <c r="G11" s="10">
        <v>3</v>
      </c>
      <c r="H11" s="10" t="s">
        <v>35</v>
      </c>
      <c r="I11" s="23" t="s">
        <v>29</v>
      </c>
      <c r="J11" s="12"/>
      <c r="K11" s="10" t="s">
        <v>35</v>
      </c>
      <c r="L11" s="25">
        <v>216</v>
      </c>
      <c r="M11" s="15">
        <v>11</v>
      </c>
      <c r="N11" s="25"/>
      <c r="O11" s="25"/>
      <c r="P11" s="16">
        <f t="shared" si="0"/>
        <v>227</v>
      </c>
      <c r="Q11" s="37">
        <f>((data!$A$3/8)*L11)+((data!$B$3/8)*(M11+N11+O11))+(P11*$E$25)</f>
        <v>1133625</v>
      </c>
      <c r="R11" s="37">
        <f t="shared" si="1"/>
        <v>100000</v>
      </c>
      <c r="S11" s="17">
        <f t="shared" si="16"/>
        <v>28375</v>
      </c>
      <c r="T11" s="37">
        <f t="shared" si="13"/>
        <v>150000</v>
      </c>
      <c r="U11" s="17">
        <f t="shared" si="17"/>
        <v>56750</v>
      </c>
      <c r="V11" s="38">
        <f t="shared" si="14"/>
        <v>0</v>
      </c>
      <c r="W11" s="17"/>
      <c r="X11" s="17">
        <f t="shared" si="4"/>
        <v>50000</v>
      </c>
      <c r="Y11" s="19">
        <v>7600</v>
      </c>
      <c r="Z11" s="37">
        <f t="shared" si="5"/>
        <v>1526500</v>
      </c>
      <c r="AE11">
        <f t="shared" si="6"/>
        <v>28.375</v>
      </c>
      <c r="AG11">
        <f t="shared" si="7"/>
        <v>28.375</v>
      </c>
      <c r="AH11">
        <f t="shared" si="9"/>
        <v>28.375</v>
      </c>
      <c r="AI11" s="39"/>
      <c r="AJ11">
        <f t="shared" si="10"/>
        <v>0</v>
      </c>
      <c r="AL11" s="21">
        <v>1010500</v>
      </c>
      <c r="AM11" t="str">
        <f t="shared" si="15"/>
        <v>riniroma</v>
      </c>
      <c r="AO11" s="40"/>
      <c r="AP11">
        <f t="shared" si="12"/>
        <v>0</v>
      </c>
    </row>
    <row r="12" spans="1:42" ht="26.1" customHeight="1">
      <c r="A12" s="35"/>
      <c r="B12" s="36">
        <v>9</v>
      </c>
      <c r="C12" s="109" t="s">
        <v>40</v>
      </c>
      <c r="D12" s="110" t="s">
        <v>31</v>
      </c>
      <c r="E12" s="111"/>
      <c r="F12" s="110"/>
      <c r="G12" s="110"/>
      <c r="H12" s="110"/>
      <c r="I12" s="112" t="s">
        <v>33</v>
      </c>
      <c r="J12" s="111"/>
      <c r="K12" s="110"/>
      <c r="L12" s="113"/>
      <c r="M12" s="114"/>
      <c r="N12" s="114"/>
      <c r="O12" s="115"/>
      <c r="P12" s="116">
        <f t="shared" si="0"/>
        <v>0</v>
      </c>
      <c r="Q12" s="117">
        <f>((data!$A$3/8)*L12)+((data!$B$3/8)*(M12+N12+O12))+(P12*$E$25)</f>
        <v>0</v>
      </c>
      <c r="R12" s="117">
        <f t="shared" si="1"/>
        <v>0</v>
      </c>
      <c r="S12" s="117">
        <f t="shared" si="16"/>
        <v>0</v>
      </c>
      <c r="T12" s="117">
        <f t="shared" si="13"/>
        <v>0</v>
      </c>
      <c r="U12" s="118">
        <f t="shared" ref="U12:U14" si="18">IF(OR(D12="Percobaan",D12=""),0,IF(I12="+",P12/8*3000,IF(I12="-",0,P12/8*2000)))</f>
        <v>0</v>
      </c>
      <c r="V12" s="119">
        <f t="shared" si="14"/>
        <v>0</v>
      </c>
      <c r="W12" s="118"/>
      <c r="X12" s="118">
        <f t="shared" si="4"/>
        <v>0</v>
      </c>
      <c r="Y12" s="120"/>
      <c r="Z12" s="117">
        <f t="shared" si="5"/>
        <v>0</v>
      </c>
      <c r="AE12">
        <f t="shared" si="6"/>
        <v>0</v>
      </c>
      <c r="AG12">
        <f t="shared" ref="AG12:AG16" si="19">AE12-AF12</f>
        <v>0</v>
      </c>
      <c r="AH12">
        <f t="shared" si="9"/>
        <v>0</v>
      </c>
      <c r="AI12" s="39"/>
      <c r="AJ12">
        <f t="shared" si="10"/>
        <v>0</v>
      </c>
      <c r="AL12" s="21">
        <v>846000</v>
      </c>
      <c r="AM12" t="str">
        <f t="shared" si="15"/>
        <v>Ririn</v>
      </c>
      <c r="AO12" s="40"/>
      <c r="AP12">
        <f t="shared" si="12"/>
        <v>0</v>
      </c>
    </row>
    <row r="13" spans="1:42" ht="26.1" customHeight="1">
      <c r="A13" s="35"/>
      <c r="B13" s="36">
        <v>8</v>
      </c>
      <c r="C13" s="41" t="s">
        <v>41</v>
      </c>
      <c r="D13" s="42" t="s">
        <v>3</v>
      </c>
      <c r="E13" s="36"/>
      <c r="F13" s="43"/>
      <c r="G13" s="43">
        <v>1</v>
      </c>
      <c r="H13" s="43"/>
      <c r="I13" s="44" t="s">
        <v>33</v>
      </c>
      <c r="J13" s="36"/>
      <c r="K13" s="43"/>
      <c r="L13" s="45">
        <v>16</v>
      </c>
      <c r="M13" s="39">
        <v>134</v>
      </c>
      <c r="N13" s="39">
        <v>12</v>
      </c>
      <c r="O13" s="39"/>
      <c r="P13" s="16">
        <f t="shared" si="0"/>
        <v>162</v>
      </c>
      <c r="Q13" s="37">
        <f>((data!$A$3/8)*L13)+((data!$B$3/8)*(M13+N13+O13))+(P13*$E$25)</f>
        <v>791750</v>
      </c>
      <c r="R13" s="37">
        <f t="shared" si="1"/>
        <v>50000</v>
      </c>
      <c r="S13" s="37">
        <f t="shared" si="16"/>
        <v>20250</v>
      </c>
      <c r="T13" s="37">
        <f t="shared" si="13"/>
        <v>50000</v>
      </c>
      <c r="U13" s="17">
        <f t="shared" si="18"/>
        <v>40500</v>
      </c>
      <c r="V13" s="38">
        <f t="shared" si="14"/>
        <v>0</v>
      </c>
      <c r="W13" s="17"/>
      <c r="X13" s="37">
        <f t="shared" ref="X13:X16" si="20">IF(K13="ok",50000+AB13,0+AB13)</f>
        <v>0</v>
      </c>
      <c r="Y13" s="37">
        <v>2400</v>
      </c>
      <c r="Z13" s="37">
        <f>CEILING(SUM(Q13:Y13),500)</f>
        <v>955000</v>
      </c>
      <c r="AE13">
        <f t="shared" si="6"/>
        <v>20.25</v>
      </c>
      <c r="AG13">
        <f t="shared" si="19"/>
        <v>20.25</v>
      </c>
      <c r="AH13">
        <f t="shared" si="9"/>
        <v>20.25</v>
      </c>
      <c r="AI13" s="39"/>
      <c r="AJ13">
        <f t="shared" si="10"/>
        <v>0</v>
      </c>
      <c r="AL13" s="21">
        <v>1414000</v>
      </c>
      <c r="AM13" t="str">
        <f t="shared" si="15"/>
        <v>Ronald</v>
      </c>
      <c r="AO13" s="40"/>
      <c r="AP13">
        <f t="shared" si="12"/>
        <v>0</v>
      </c>
    </row>
    <row r="14" spans="1:42" ht="26.1" customHeight="1">
      <c r="A14" s="2"/>
      <c r="B14" s="8">
        <v>10</v>
      </c>
      <c r="C14" s="46" t="s">
        <v>42</v>
      </c>
      <c r="D14" s="42" t="s">
        <v>3</v>
      </c>
      <c r="E14" s="8"/>
      <c r="F14" s="47"/>
      <c r="G14" s="47">
        <v>1</v>
      </c>
      <c r="H14" s="47"/>
      <c r="I14" s="48"/>
      <c r="J14" s="8"/>
      <c r="K14" s="47"/>
      <c r="L14" s="26">
        <v>1</v>
      </c>
      <c r="M14" s="26">
        <v>147</v>
      </c>
      <c r="N14" s="26">
        <v>58</v>
      </c>
      <c r="O14" s="26"/>
      <c r="P14" s="49">
        <f t="shared" si="0"/>
        <v>206</v>
      </c>
      <c r="Q14" s="17">
        <f>((data!$A$3/8)*L14)+((data!$B$3/8)*(M14+N14+O14))+(P14*$E$25)</f>
        <v>1004375</v>
      </c>
      <c r="R14" s="17">
        <f t="shared" si="1"/>
        <v>50000</v>
      </c>
      <c r="S14" s="17">
        <f t="shared" si="16"/>
        <v>25750</v>
      </c>
      <c r="T14" s="17">
        <f t="shared" si="13"/>
        <v>50000</v>
      </c>
      <c r="U14" s="37">
        <f t="shared" si="18"/>
        <v>51500</v>
      </c>
      <c r="V14" s="18">
        <f t="shared" si="14"/>
        <v>0</v>
      </c>
      <c r="W14" s="17"/>
      <c r="X14" s="37">
        <f t="shared" si="20"/>
        <v>0</v>
      </c>
      <c r="Y14" s="17">
        <v>14400</v>
      </c>
      <c r="Z14" s="17">
        <f t="shared" si="5"/>
        <v>1196500</v>
      </c>
      <c r="AE14">
        <f t="shared" si="6"/>
        <v>25.75</v>
      </c>
      <c r="AG14">
        <f t="shared" si="19"/>
        <v>25.75</v>
      </c>
      <c r="AH14">
        <f t="shared" si="9"/>
        <v>25.75</v>
      </c>
      <c r="AI14" s="26"/>
      <c r="AJ14">
        <f t="shared" si="10"/>
        <v>0</v>
      </c>
      <c r="AL14" s="21">
        <v>1131000</v>
      </c>
      <c r="AM14" t="str">
        <f t="shared" si="15"/>
        <v>Yulika</v>
      </c>
      <c r="AO14" s="22"/>
      <c r="AP14">
        <f t="shared" si="12"/>
        <v>0</v>
      </c>
    </row>
    <row r="15" spans="1:42" ht="26.1" hidden="1" customHeight="1">
      <c r="A15" s="2"/>
      <c r="B15" s="8">
        <v>11</v>
      </c>
      <c r="C15" s="50" t="s">
        <v>43</v>
      </c>
      <c r="D15" s="51"/>
      <c r="E15" s="52"/>
      <c r="F15" s="53"/>
      <c r="G15" s="53"/>
      <c r="H15" s="53"/>
      <c r="I15" s="54"/>
      <c r="J15" s="52"/>
      <c r="K15" s="53"/>
      <c r="L15" s="55"/>
      <c r="M15" s="55"/>
      <c r="N15" s="55"/>
      <c r="O15" s="55"/>
      <c r="P15" s="49">
        <f t="shared" ref="P15:P18" si="21">SUM(L15:O15)</f>
        <v>0</v>
      </c>
      <c r="Q15" s="17">
        <f>((data!$A$3/8)*L15)+((data!$B$3/8)*(M15+N15+O15))+(P15*$E$25)</f>
        <v>0</v>
      </c>
      <c r="R15" s="17"/>
      <c r="S15" s="17">
        <f t="shared" si="16"/>
        <v>0</v>
      </c>
      <c r="T15" s="17">
        <f t="shared" si="13"/>
        <v>0</v>
      </c>
      <c r="U15" s="17">
        <f>IF(I15="+",P15/8*3000,IF(I15="-",0,P15/8*2000))</f>
        <v>0</v>
      </c>
      <c r="V15" s="18">
        <f t="shared" si="14"/>
        <v>0</v>
      </c>
      <c r="W15" s="17"/>
      <c r="X15" s="37">
        <f t="shared" si="20"/>
        <v>0</v>
      </c>
      <c r="Y15" s="17"/>
      <c r="Z15" s="17">
        <f t="shared" si="5"/>
        <v>0</v>
      </c>
      <c r="AE15">
        <f t="shared" si="6"/>
        <v>0</v>
      </c>
      <c r="AG15">
        <f t="shared" si="19"/>
        <v>0</v>
      </c>
      <c r="AH15">
        <f t="shared" si="9"/>
        <v>0</v>
      </c>
      <c r="AJ15">
        <f t="shared" si="10"/>
        <v>0</v>
      </c>
      <c r="AL15" s="21">
        <v>1055000</v>
      </c>
      <c r="AM15" t="str">
        <f t="shared" si="15"/>
        <v>-</v>
      </c>
      <c r="AO15" s="22"/>
      <c r="AP15">
        <f t="shared" si="12"/>
        <v>0</v>
      </c>
    </row>
    <row r="16" spans="1:42" ht="26.1" hidden="1" customHeight="1">
      <c r="A16" s="2"/>
      <c r="B16" s="8">
        <v>12</v>
      </c>
      <c r="C16" s="56" t="s">
        <v>43</v>
      </c>
      <c r="D16" s="42"/>
      <c r="E16" s="8"/>
      <c r="F16" s="57"/>
      <c r="G16" s="58"/>
      <c r="H16" s="58"/>
      <c r="I16" s="47"/>
      <c r="J16" s="57"/>
      <c r="K16" s="59"/>
      <c r="L16" s="26"/>
      <c r="M16" s="26"/>
      <c r="N16" s="26"/>
      <c r="O16" s="26"/>
      <c r="P16" s="49">
        <f t="shared" si="21"/>
        <v>0</v>
      </c>
      <c r="Q16" s="17">
        <f>((data!$A$3/8)*L16)+((data!$B$3/8)*(M16+N16+O16))+(P16*$E$25)</f>
        <v>0</v>
      </c>
      <c r="R16" s="17"/>
      <c r="S16" s="17">
        <f t="shared" si="16"/>
        <v>0</v>
      </c>
      <c r="T16" s="17">
        <f t="shared" si="13"/>
        <v>0</v>
      </c>
      <c r="U16" s="17">
        <f>IF(I16="+",P16/8*3000,IF(I16="-",0,P16/8*2000))</f>
        <v>0</v>
      </c>
      <c r="V16" s="18">
        <f t="shared" si="14"/>
        <v>0</v>
      </c>
      <c r="W16" s="17"/>
      <c r="X16" s="37">
        <f t="shared" si="20"/>
        <v>0</v>
      </c>
      <c r="Y16" s="17"/>
      <c r="Z16" s="17">
        <f t="shared" si="5"/>
        <v>0</v>
      </c>
      <c r="AE16">
        <f t="shared" si="6"/>
        <v>0</v>
      </c>
      <c r="AG16">
        <f t="shared" si="19"/>
        <v>0</v>
      </c>
      <c r="AH16">
        <f t="shared" si="9"/>
        <v>0</v>
      </c>
      <c r="AL16" s="21">
        <v>0</v>
      </c>
      <c r="AM16" t="str">
        <f t="shared" si="11"/>
        <v>-</v>
      </c>
      <c r="AO16" s="22"/>
      <c r="AP16">
        <f t="shared" si="12"/>
        <v>0</v>
      </c>
    </row>
    <row r="17" spans="1:42" ht="26.1" hidden="1" customHeight="1">
      <c r="A17" s="2"/>
      <c r="B17" s="8">
        <v>13</v>
      </c>
      <c r="C17" s="56" t="s">
        <v>43</v>
      </c>
      <c r="D17" s="60"/>
      <c r="E17" s="61">
        <v>0</v>
      </c>
      <c r="F17" s="58"/>
      <c r="G17" s="58"/>
      <c r="H17" s="58"/>
      <c r="I17" s="62"/>
      <c r="J17" s="58"/>
      <c r="K17" s="58"/>
      <c r="L17" s="26"/>
      <c r="M17" s="63"/>
      <c r="N17" s="63"/>
      <c r="O17" s="63"/>
      <c r="P17" s="64">
        <f t="shared" si="21"/>
        <v>0</v>
      </c>
      <c r="Q17" s="17">
        <f>((data!$A$3/8)*L17)+((data!$B$3/8)*(M17+N17+O17))+(P17*$E$25)</f>
        <v>0</v>
      </c>
      <c r="R17" s="17">
        <f t="shared" ref="R17" si="22">IF(D17="Percobaan",0,IF(AND(E17="",G17&gt;0,H17="ok"),100000,IF(AND(E17="",G17&gt;0,H17=""),50000,IF(AND(E17=""),100000,0))))</f>
        <v>0</v>
      </c>
      <c r="S17" s="17">
        <f t="shared" si="16"/>
        <v>0</v>
      </c>
      <c r="T17" s="17">
        <f t="shared" ref="T17" si="23">IF(AND(G17&gt;0,H17=""),50000,IF(AND(G17&gt;0,H17="ok"),G17*50000,0))</f>
        <v>0</v>
      </c>
      <c r="U17" s="17">
        <f t="shared" ref="U17" si="24">IF(OR(D17="Percobaan",D17=""),0,IF(I17="+",P17/8*3000,IF(I17="-",0,P17/8*2000)))</f>
        <v>0</v>
      </c>
      <c r="V17" s="18">
        <f t="shared" ref="V17" si="25">J17*-12500</f>
        <v>0</v>
      </c>
      <c r="W17" s="17"/>
      <c r="X17" s="17">
        <f>IF(K17="ok",50000+AB17,0+AB17)</f>
        <v>0</v>
      </c>
      <c r="Y17" s="17"/>
      <c r="Z17" s="17">
        <f t="shared" ref="Z17" si="26">CEILING(SUM(Q17:Y17),500)</f>
        <v>0</v>
      </c>
      <c r="AE17">
        <f t="shared" ref="AE17" si="27">P17/8</f>
        <v>0</v>
      </c>
      <c r="AF17">
        <f t="shared" ref="AF17:AF18" si="28">AE17+AJ17</f>
        <v>0</v>
      </c>
      <c r="AG17">
        <f t="shared" ref="AG17" si="29">AE17-AF17</f>
        <v>0</v>
      </c>
      <c r="AL17" s="21">
        <v>100000</v>
      </c>
      <c r="AM17" t="str">
        <f t="shared" si="11"/>
        <v>-</v>
      </c>
      <c r="AO17" s="22"/>
      <c r="AP17">
        <f t="shared" si="12"/>
        <v>0</v>
      </c>
    </row>
    <row r="18" spans="1:42" ht="26.1" hidden="1" customHeight="1">
      <c r="A18" s="2"/>
      <c r="B18" s="8">
        <v>14</v>
      </c>
      <c r="C18" s="56" t="s">
        <v>43</v>
      </c>
      <c r="D18" s="60"/>
      <c r="E18" s="8">
        <v>0</v>
      </c>
      <c r="F18" s="58"/>
      <c r="G18" s="58"/>
      <c r="H18" s="58"/>
      <c r="I18" s="62" t="s">
        <v>43</v>
      </c>
      <c r="J18" s="58"/>
      <c r="K18" s="58"/>
      <c r="L18" s="26"/>
      <c r="M18" s="26"/>
      <c r="N18" s="26"/>
      <c r="O18" s="26"/>
      <c r="P18" s="37">
        <f t="shared" si="21"/>
        <v>0</v>
      </c>
      <c r="Q18" s="17">
        <f>((data!$A$3/8)*L18)+((data!$B$3/8)*(M18+N18+O18))+(P18*$E$25)</f>
        <v>0</v>
      </c>
      <c r="R18" s="17">
        <f t="shared" ref="R18" si="30">IF(D18="Percobaan",0,IF(AND(E18="",G18&gt;0,H18="ok"),100000,IF(AND(E18="",G18&gt;0,H18=""),50000,IF(AND(E18=""),100000,0))))</f>
        <v>0</v>
      </c>
      <c r="S18" s="17">
        <v>0</v>
      </c>
      <c r="T18" s="17">
        <f t="shared" ref="T18" si="31">IF(AND(G18&gt;0,H18=""),50000,IF(AND(G18&gt;0,H18="ok"),G18*50000,0))</f>
        <v>0</v>
      </c>
      <c r="U18" s="17">
        <f t="shared" ref="U18" si="32">IF(OR(D18="Percobaan",D18=""),0,IF(I18="+",P18/8*3000,IF(I18="-",0,P18/8*2000)))</f>
        <v>0</v>
      </c>
      <c r="V18" s="18">
        <f t="shared" ref="V18" si="33">J18*-12500</f>
        <v>0</v>
      </c>
      <c r="W18" s="17"/>
      <c r="X18" s="17">
        <f>IF(K18="ok",50000+AB18,0+AB18)</f>
        <v>0</v>
      </c>
      <c r="Y18" s="17"/>
      <c r="Z18" s="17">
        <f t="shared" ref="Z18" si="34">CEILING(SUM(Q18:Y18),500)</f>
        <v>0</v>
      </c>
      <c r="AF18">
        <f t="shared" si="28"/>
        <v>0</v>
      </c>
      <c r="AL18" s="21">
        <v>0</v>
      </c>
      <c r="AM18" t="str">
        <f t="shared" si="11"/>
        <v>-</v>
      </c>
    </row>
    <row r="19" spans="1:42" ht="26.1" customHeight="1">
      <c r="A19" s="2"/>
      <c r="B19" s="4"/>
      <c r="C19" s="65"/>
      <c r="D19" s="65"/>
      <c r="E19" s="4"/>
      <c r="F19" s="65"/>
      <c r="G19" s="5"/>
      <c r="H19" s="5"/>
      <c r="I19" s="5"/>
      <c r="J19" s="4">
        <f>SUM(J5:J17)</f>
        <v>0</v>
      </c>
      <c r="K19" s="5"/>
      <c r="L19" s="66">
        <f>SUM(L5:L17)</f>
        <v>496</v>
      </c>
      <c r="M19" s="66">
        <f>SUM(M5:M18)</f>
        <v>496</v>
      </c>
      <c r="N19" s="66">
        <f>SUM(N5:N18)</f>
        <v>496</v>
      </c>
      <c r="O19" s="66">
        <f>SUM(O5:O17)</f>
        <v>128</v>
      </c>
      <c r="P19" s="67">
        <f>SUM(P5:P18)</f>
        <v>1616</v>
      </c>
      <c r="Q19" s="67">
        <f t="shared" ref="Q19:Z19" si="35">SUM(Q5:Q17)</f>
        <v>7940000</v>
      </c>
      <c r="R19" s="67">
        <f t="shared" si="35"/>
        <v>250000</v>
      </c>
      <c r="S19" s="67">
        <f t="shared" si="35"/>
        <v>150000</v>
      </c>
      <c r="T19" s="67">
        <f t="shared" si="35"/>
        <v>350000</v>
      </c>
      <c r="U19" s="67">
        <f t="shared" si="35"/>
        <v>404000</v>
      </c>
      <c r="V19" s="68">
        <f t="shared" si="35"/>
        <v>0</v>
      </c>
      <c r="W19" s="67">
        <f t="shared" si="35"/>
        <v>0</v>
      </c>
      <c r="X19" s="67">
        <f t="shared" si="35"/>
        <v>140000</v>
      </c>
      <c r="Y19" s="67">
        <f t="shared" si="35"/>
        <v>54400</v>
      </c>
      <c r="Z19" s="67">
        <f t="shared" si="35"/>
        <v>9290500</v>
      </c>
      <c r="AI19">
        <f>SUM(AI5:AI16)</f>
        <v>0</v>
      </c>
      <c r="AJ19">
        <f>SUM(AJ5:AJ16)</f>
        <v>0</v>
      </c>
      <c r="AL19" s="69">
        <v>11057500</v>
      </c>
    </row>
    <row r="20" spans="1:42" ht="26.1" customHeight="1">
      <c r="A20" s="2"/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103">
        <f>L19+M19+N19</f>
        <v>1488</v>
      </c>
      <c r="M20" s="104"/>
      <c r="N20" s="104"/>
      <c r="X20" s="107">
        <f ca="1">NOW()</f>
        <v>46062.385664467591</v>
      </c>
      <c r="Y20" s="107"/>
    </row>
    <row r="21" spans="1:42" ht="26.1" hidden="1" customHeight="1">
      <c r="A21" s="2"/>
      <c r="B21" s="70"/>
      <c r="C21" s="71"/>
      <c r="D21" s="71"/>
      <c r="E21" s="71"/>
      <c r="F21" s="71"/>
      <c r="G21" s="71"/>
      <c r="H21" s="71"/>
      <c r="I21" s="71"/>
      <c r="J21" s="71"/>
      <c r="K21" s="71"/>
    </row>
    <row r="22" spans="1:42" ht="26.1" hidden="1" customHeight="1">
      <c r="A22" s="2"/>
      <c r="B22" s="72"/>
      <c r="C22" s="72"/>
      <c r="D22" s="72"/>
      <c r="E22" s="73"/>
      <c r="F22" s="72"/>
      <c r="G22" s="72"/>
      <c r="H22" s="22"/>
      <c r="I22" s="74"/>
      <c r="J22" s="74"/>
      <c r="K22" s="70"/>
      <c r="L22" s="75">
        <f>SUM(L19:N19)</f>
        <v>1488</v>
      </c>
      <c r="M22" s="76"/>
    </row>
    <row r="23" spans="1:42" ht="26.1" hidden="1" customHeight="1">
      <c r="A23" s="2"/>
      <c r="B23" s="73"/>
      <c r="C23" s="73"/>
      <c r="D23" s="73"/>
      <c r="E23" s="73"/>
      <c r="F23" s="73"/>
      <c r="G23" s="73"/>
      <c r="H23" s="22"/>
      <c r="I23" s="22"/>
      <c r="J23" s="22"/>
      <c r="K23" s="74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1:42" ht="26.1" hidden="1" customHeight="1">
      <c r="A24" s="2"/>
      <c r="B24" s="78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42" ht="48.75" customHeight="1">
      <c r="A25" s="2"/>
      <c r="B25" s="79"/>
      <c r="C25" s="79" t="s">
        <v>44</v>
      </c>
      <c r="D25" s="79"/>
      <c r="E25" s="108">
        <f>IF(L20&gt;0,data!F3/L20)</f>
        <v>0</v>
      </c>
      <c r="F25" s="108"/>
      <c r="G25" s="73"/>
      <c r="H25" s="73"/>
      <c r="I25" s="73"/>
      <c r="J25" s="80" t="s">
        <v>45</v>
      </c>
      <c r="K25" s="80"/>
      <c r="L25" s="80"/>
      <c r="M25" s="80"/>
      <c r="N25" s="80"/>
      <c r="O25" s="80"/>
      <c r="P25" s="80"/>
      <c r="V25" s="22"/>
      <c r="W25" s="22"/>
    </row>
    <row r="26" spans="1:42" ht="26.1" hidden="1" customHeight="1">
      <c r="A26" s="2"/>
      <c r="B26" s="81"/>
      <c r="C26" s="81"/>
      <c r="D26" s="81"/>
      <c r="E26" s="74"/>
      <c r="F26" s="74"/>
      <c r="G26" s="73"/>
      <c r="H26" s="73"/>
      <c r="I26" s="73"/>
      <c r="J26" s="73"/>
      <c r="K26" s="82"/>
      <c r="L26" s="82"/>
      <c r="M26" s="82"/>
      <c r="N26" s="82"/>
      <c r="O26" s="2"/>
      <c r="P26" s="2"/>
      <c r="V26" s="22"/>
      <c r="W26" s="22"/>
    </row>
    <row r="27" spans="1:42" ht="26.1" hidden="1" customHeight="1">
      <c r="A27" s="2"/>
      <c r="B27" s="74"/>
      <c r="C27" s="74"/>
      <c r="D27" s="74"/>
      <c r="E27" s="74"/>
      <c r="F27" s="74"/>
      <c r="G27" s="73"/>
      <c r="H27" s="73"/>
      <c r="I27" s="73"/>
      <c r="J27" s="73"/>
      <c r="K27" s="2"/>
      <c r="L27" s="2"/>
      <c r="M27" s="2"/>
      <c r="N27" s="82"/>
      <c r="O27" s="2"/>
      <c r="P27" s="2"/>
      <c r="V27" s="22"/>
      <c r="W27" s="22"/>
    </row>
    <row r="28" spans="1:42" ht="26.1" customHeight="1">
      <c r="A28" s="2"/>
      <c r="B28" s="102" t="s">
        <v>46</v>
      </c>
      <c r="C28" s="102"/>
      <c r="D28" s="102"/>
      <c r="E28" s="102"/>
      <c r="F28" s="83">
        <v>2</v>
      </c>
      <c r="G28" s="73"/>
      <c r="H28" s="73"/>
      <c r="I28" s="73"/>
      <c r="J28" s="105"/>
      <c r="K28" s="105"/>
      <c r="L28" s="105"/>
      <c r="M28" s="105"/>
      <c r="N28" s="105"/>
      <c r="O28" s="105"/>
      <c r="P28" s="105"/>
      <c r="V28" s="84">
        <f>1.5*data!A3</f>
        <v>60000</v>
      </c>
      <c r="W28" s="85">
        <f>V28/8</f>
        <v>7500</v>
      </c>
    </row>
    <row r="29" spans="1:42" ht="26.1" customHeight="1">
      <c r="A29" s="2"/>
      <c r="B29" s="102" t="s">
        <v>47</v>
      </c>
      <c r="C29" s="102"/>
      <c r="D29" s="102"/>
      <c r="E29" s="102"/>
      <c r="F29" s="86">
        <f>31*24*F28</f>
        <v>1488</v>
      </c>
      <c r="G29" s="87"/>
      <c r="H29" s="86"/>
      <c r="I29" s="87"/>
      <c r="J29" s="105"/>
      <c r="K29" s="105"/>
      <c r="L29" s="105"/>
      <c r="M29" s="105"/>
      <c r="N29" s="105"/>
      <c r="O29" s="105"/>
      <c r="P29" s="105"/>
      <c r="V29" s="88">
        <f>V28-data!A3</f>
        <v>20000</v>
      </c>
      <c r="W29" s="85">
        <f>V29/8</f>
        <v>2500</v>
      </c>
    </row>
    <row r="30" spans="1:42" ht="26.1" customHeight="1">
      <c r="A30" s="2"/>
      <c r="B30" s="102" t="s">
        <v>48</v>
      </c>
      <c r="C30" s="102"/>
      <c r="D30" s="102"/>
      <c r="E30" s="102"/>
      <c r="F30" s="86">
        <v>0</v>
      </c>
      <c r="G30" s="87"/>
      <c r="H30" s="87"/>
      <c r="I30" s="87"/>
      <c r="J30" s="87"/>
      <c r="K30" s="2"/>
      <c r="L30" s="89"/>
      <c r="M30" s="2"/>
      <c r="N30" s="82"/>
      <c r="O30" s="2"/>
      <c r="P30" s="90"/>
      <c r="V30" s="22"/>
      <c r="W30" s="22"/>
    </row>
    <row r="31" spans="1:42" ht="26.1" customHeight="1">
      <c r="A31" s="2"/>
      <c r="B31" s="102" t="s">
        <v>49</v>
      </c>
      <c r="C31" s="102"/>
      <c r="D31" s="102"/>
      <c r="E31" s="102"/>
      <c r="F31" s="91">
        <f>F29-F30</f>
        <v>1488</v>
      </c>
      <c r="G31" s="92"/>
      <c r="H31" s="92"/>
      <c r="I31" s="92"/>
      <c r="J31" s="92"/>
      <c r="V31" s="22"/>
      <c r="W31" s="22"/>
    </row>
    <row r="32" spans="1:42" ht="26.1" customHeight="1">
      <c r="A32" s="2"/>
      <c r="B32" s="101" t="s">
        <v>50</v>
      </c>
      <c r="C32" s="101"/>
      <c r="D32" s="101"/>
      <c r="E32" s="101"/>
      <c r="F32" s="93">
        <f>P19</f>
        <v>1616</v>
      </c>
      <c r="G32" s="92"/>
      <c r="H32" s="92"/>
      <c r="I32" s="92"/>
      <c r="J32" s="92"/>
      <c r="V32" s="77"/>
      <c r="W32" s="77"/>
    </row>
    <row r="33" spans="1:23" ht="26.1" customHeight="1">
      <c r="A33" s="2"/>
      <c r="B33" s="101" t="s">
        <v>51</v>
      </c>
      <c r="C33" s="101"/>
      <c r="D33" s="101"/>
      <c r="E33" s="101"/>
      <c r="F33" s="94">
        <f>-(F31-F32)</f>
        <v>128</v>
      </c>
      <c r="G33" s="87"/>
      <c r="H33" s="87"/>
      <c r="I33" s="87"/>
      <c r="J33" s="92"/>
      <c r="V33" s="70"/>
      <c r="W33" s="74"/>
    </row>
    <row r="34" spans="1:23" ht="26.1" customHeight="1">
      <c r="P34" s="1"/>
      <c r="W34" s="95"/>
    </row>
    <row r="35" spans="1:23" ht="26.1" customHeight="1"/>
    <row r="36" spans="1:23" ht="26.1" customHeight="1"/>
    <row r="37" spans="1:23" ht="26.1" customHeight="1"/>
    <row r="38" spans="1:23" ht="26.1" customHeight="1"/>
    <row r="39" spans="1:23" ht="26.1" customHeight="1"/>
    <row r="40" spans="1:23" ht="26.1" customHeight="1"/>
    <row r="41" spans="1:23" ht="26.1" customHeight="1"/>
    <row r="42" spans="1:23" ht="26.1" customHeight="1"/>
    <row r="43" spans="1:23" ht="26.1" customHeight="1">
      <c r="Q43">
        <v>288</v>
      </c>
    </row>
    <row r="44" spans="1:23" ht="26.1" customHeight="1"/>
    <row r="45" spans="1:23" ht="26.1" customHeight="1"/>
    <row r="46" spans="1:23" ht="26.1" customHeight="1"/>
    <row r="47" spans="1:23" ht="26.1" customHeight="1"/>
  </sheetData>
  <mergeCells count="12">
    <mergeCell ref="B3:D3"/>
    <mergeCell ref="B28:E28"/>
    <mergeCell ref="X20:Y20"/>
    <mergeCell ref="E25:F25"/>
    <mergeCell ref="B30:E30"/>
    <mergeCell ref="AI4:AJ4"/>
    <mergeCell ref="B33:E33"/>
    <mergeCell ref="B32:E32"/>
    <mergeCell ref="B29:E29"/>
    <mergeCell ref="B31:E31"/>
    <mergeCell ref="L20:N20"/>
    <mergeCell ref="J28:P29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258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3" sqref="A3"/>
    </sheetView>
  </sheetViews>
  <sheetFormatPr defaultRowHeight="15"/>
  <cols>
    <col min="9" max="9" width="18.140625" bestFit="1" customWidth="1"/>
  </cols>
  <sheetData>
    <row r="1" spans="1:10">
      <c r="A1" t="s">
        <v>52</v>
      </c>
    </row>
    <row r="2" spans="1:10">
      <c r="A2" t="s">
        <v>53</v>
      </c>
      <c r="B2" t="s">
        <v>54</v>
      </c>
      <c r="F2" t="s">
        <v>55</v>
      </c>
      <c r="I2" t="s">
        <v>56</v>
      </c>
      <c r="J2" t="s">
        <v>57</v>
      </c>
    </row>
    <row r="3" spans="1:10">
      <c r="A3">
        <v>40000</v>
      </c>
      <c r="B3">
        <v>39000</v>
      </c>
      <c r="F3">
        <v>0</v>
      </c>
      <c r="I3" s="96">
        <f>Sheet1!B3</f>
        <v>46023</v>
      </c>
    </row>
    <row r="4" spans="1:10">
      <c r="A4">
        <f>A3-5000</f>
        <v>35000</v>
      </c>
      <c r="B4">
        <f>B3-5000</f>
        <v>34000</v>
      </c>
      <c r="I4" s="97">
        <f>EOMONTH(I3,0)</f>
        <v>46053</v>
      </c>
      <c r="J4">
        <v>3</v>
      </c>
    </row>
    <row r="10" spans="1:10">
      <c r="A10">
        <f>A3*1.5</f>
        <v>60000</v>
      </c>
    </row>
    <row r="11" spans="1:10">
      <c r="A11">
        <f>A10-A3</f>
        <v>20000</v>
      </c>
    </row>
    <row r="12" spans="1:10">
      <c r="A12" s="98">
        <f>A11/8</f>
        <v>2500</v>
      </c>
      <c r="B12" s="98" t="s">
        <v>58</v>
      </c>
      <c r="C12" s="98"/>
      <c r="D12" s="98"/>
      <c r="E12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 Eko</cp:lastModifiedBy>
  <cp:lastPrinted>2026-02-09T02:15:27Z</cp:lastPrinted>
  <dcterms:created xsi:type="dcterms:W3CDTF">2022-07-05T15:57:31Z</dcterms:created>
  <dcterms:modified xsi:type="dcterms:W3CDTF">2026-02-09T02:20:55Z</dcterms:modified>
</cp:coreProperties>
</file>