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11\"/>
    </mc:Choice>
  </mc:AlternateContent>
  <xr:revisionPtr revIDLastSave="0" documentId="13_ncr:1_{ED1417D6-7591-4767-AB4C-BE066F65A9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S8" i="1"/>
  <c r="F29" i="1"/>
  <c r="U9" i="1"/>
  <c r="X9" i="1"/>
  <c r="X10" i="1"/>
  <c r="X11" i="1"/>
  <c r="X12" i="1"/>
  <c r="U13" i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U11" i="1" s="1"/>
  <c r="P10" i="1"/>
  <c r="P9" i="1"/>
  <c r="S9" i="1" s="1"/>
  <c r="P8" i="1"/>
  <c r="P7" i="1"/>
  <c r="P6" i="1"/>
  <c r="S6" i="1" s="1"/>
  <c r="U5" i="1"/>
  <c r="U10" i="1" l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<sst xmlns="http://schemas.openxmlformats.org/spreadsheetml/2006/main" count="204" uniqueCount="76">
  <si>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</si>
  <si>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</si>
  <si>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</si>
  <si>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</si>
  <si>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</si>
  <si>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</si>
  <si>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</si>
  <si>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</si>
  <si>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</si>
  <si>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</si>
  <si>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</si>
  <si>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</si>
  <si>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</si>
  <si>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</si>
  <si>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</si>
  <si>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</si>
  <si>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</si>
  <si>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</si>
  <si>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</si>
  <si>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</si>
  <si>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</si>
  <si>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</si>
  <si>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</si>
  <si>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</si>
  <si>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</si>
  <si>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</si>
  <si>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</si>
  <si>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</si>
  <si>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</si>
  <si>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</si>
  <si>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</si>
  <si>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</si>
  <si>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</si>
  <si>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</si>
  <si>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</si>
  <si>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</si>
  <si>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</si>
  <si>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</si>
  <si>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</si>
  <si>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</si>
  <si>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</si>
  <si>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</si>
  <si>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</si>
  <si>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</si>
  <si>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</si>
  <si>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</si>
  <si>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</si>
  <si>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</si>
  <si>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</si>
  <si>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</si>
  <si>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</si>
  <si>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</si>
  <si>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</si>
  <si>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</si>
  <si>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</si>
  <si>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</si>
  <si>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</si>
  <si>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</si>
  <si>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</si>
  <si>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</si>
  <si>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</si>
  <si>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</si>
  <si>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</si>
  <si>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</si>
  <si>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</si>
  <si>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</si>
  <si>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</si>
  <si>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</si>
  <si>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</si>
  <si>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</si>
  <si>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</si>
  <si>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Hafis</t>
  </si>
  <si>
    <t>riniroma</t>
  </si>
  <si>
    <t>penyesuaian lebaran</t>
  </si>
  <si>
    <t>meeting pelatihan</t>
  </si>
  <si>
    <t>meeting pelatihan telat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</si>
</sst>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41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164" fontId="19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41" fontId="2" fillId="3" borderId="1" xfId="2" applyFont="1" applyFill="1" applyBorder="1" applyAlignment="1">
      <alignment horizontal="right" vertical="center"/>
    </xf>
    <xf numFmtId="41" fontId="2" fillId="0" borderId="2" xfId="2" applyFont="1" applyFill="1" applyBorder="1" applyAlignment="1">
      <alignment horizontal="right" vertical="center"/>
    </xf>
    <xf numFmtId="41" fontId="5" fillId="0" borderId="0" xfId="2" applyFont="1" applyFill="1" applyAlignment="1" applyProtection="1">
      <alignment horizontal="right" vertical="center"/>
    </xf>
    <xf numFmtId="41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41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Border="1" applyAlignment="1">
      <alignment horizontal="center" vertical="center"/>
    </xf>
    <xf numFmtId="41" fontId="0" fillId="0" borderId="1" xfId="2" applyFont="1" applyBorder="1" applyAlignment="1">
      <alignment vertical="center"/>
    </xf>
    <xf numFmtId="41" fontId="16" fillId="3" borderId="1" xfId="2" applyFont="1" applyFill="1" applyBorder="1" applyAlignment="1">
      <alignment horizontal="center" vertical="center" wrapText="1"/>
    </xf>
    <xf numFmtId="41" fontId="16" fillId="3" borderId="1" xfId="2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center" vertical="center" wrapText="1"/>
    </xf>
    <xf numFmtId="41" fontId="16" fillId="0" borderId="1" xfId="2" applyFont="1" applyBorder="1" applyAlignment="1">
      <alignment horizontal="left" vertical="center"/>
    </xf>
    <xf numFmtId="41" fontId="16" fillId="0" borderId="1" xfId="2" applyFont="1" applyFill="1" applyBorder="1" applyAlignment="1">
      <alignment horizontal="left" vertical="center"/>
    </xf>
    <xf numFmtId="41" fontId="16" fillId="0" borderId="1" xfId="2" applyFont="1" applyFill="1" applyBorder="1" applyAlignment="1">
      <alignment horizontal="left" vertical="center" wrapText="1"/>
    </xf>
    <xf numFmtId="41" fontId="16" fillId="0" borderId="1" xfId="2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right" vertical="center" wrapText="1"/>
    </xf>
    <xf numFmtId="41" fontId="16" fillId="6" borderId="1" xfId="2" applyFont="1" applyFill="1" applyBorder="1" applyAlignment="1">
      <alignment horizontal="center" vertical="center" wrapText="1"/>
    </xf>
    <xf numFmtId="41" fontId="16" fillId="6" borderId="1" xfId="2" applyFont="1" applyFill="1" applyBorder="1" applyAlignment="1">
      <alignment horizontal="left" vertical="center" wrapText="1"/>
    </xf>
    <xf numFmtId="41" fontId="16" fillId="6" borderId="1" xfId="2" applyFont="1" applyFill="1" applyBorder="1" applyAlignment="1">
      <alignment horizontal="left" vertical="center"/>
    </xf>
    <xf numFmtId="41" fontId="16" fillId="6" borderId="1" xfId="2" applyFont="1" applyFill="1" applyBorder="1" applyAlignment="1">
      <alignment horizontal="center" vertical="center"/>
    </xf>
    <xf numFmtId="41" fontId="16" fillId="6" borderId="1" xfId="2" applyFont="1" applyFill="1" applyBorder="1" applyAlignment="1">
      <alignment horizontal="right" vertical="center" wrapText="1"/>
    </xf>
    <xf numFmtId="41" fontId="16" fillId="6" borderId="1" xfId="2" applyFont="1" applyFill="1" applyBorder="1" applyAlignment="1">
      <alignment horizontal="right" vertical="center"/>
    </xf>
    <xf numFmtId="41" fontId="16" fillId="0" borderId="1" xfId="2" quotePrefix="1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right" vertical="center"/>
    </xf>
    <xf numFmtId="41" fontId="16" fillId="2" borderId="1" xfId="2" applyFont="1" applyFill="1" applyBorder="1" applyAlignment="1">
      <alignment horizontal="center" vertical="center" wrapText="1"/>
    </xf>
    <xf numFmtId="41" fontId="16" fillId="2" borderId="1" xfId="2" applyFont="1" applyFill="1" applyBorder="1" applyAlignment="1">
      <alignment horizontal="left" vertical="center"/>
    </xf>
    <xf numFmtId="41" fontId="16" fillId="2" borderId="1" xfId="2" applyFont="1" applyFill="1" applyBorder="1" applyAlignment="1">
      <alignment horizontal="center" vertical="center"/>
    </xf>
    <xf numFmtId="41" fontId="16" fillId="2" borderId="1" xfId="2" applyFont="1" applyFill="1" applyBorder="1" applyAlignment="1">
      <alignment horizontal="right" vertical="center"/>
    </xf>
    <xf numFmtId="41" fontId="16" fillId="2" borderId="1" xfId="2" applyFont="1" applyFill="1" applyBorder="1" applyAlignment="1">
      <alignment horizontal="right" vertical="center" wrapText="1"/>
    </xf>
    <xf numFmtId="41" fontId="16" fillId="2" borderId="1" xfId="2" applyFont="1" applyFill="1" applyBorder="1" applyAlignment="1">
      <alignment horizontal="left" vertical="center" wrapText="1"/>
    </xf>
    <xf numFmtId="41" fontId="17" fillId="0" borderId="1" xfId="2" applyFont="1" applyBorder="1" applyAlignment="1">
      <alignment vertical="center"/>
    </xf>
    <xf numFmtId="41" fontId="16" fillId="3" borderId="1" xfId="2" applyFont="1" applyFill="1" applyBorder="1" applyAlignment="1">
      <alignment horizontal="left" vertical="center"/>
    </xf>
    <xf numFmtId="41" fontId="16" fillId="3" borderId="1" xfId="2" applyFont="1" applyFill="1" applyBorder="1" applyAlignment="1">
      <alignment horizontal="right" vertical="center"/>
    </xf>
    <xf numFmtId="41" fontId="9" fillId="0" borderId="0" xfId="2" quotePrefix="1" applyFont="1" applyAlignment="1">
      <alignment vertical="center"/>
    </xf>
    <xf numFmtId="41" fontId="9" fillId="0" borderId="1" xfId="2" applyFont="1" applyBorder="1" applyAlignment="1">
      <alignment vertical="center"/>
    </xf>
    <xf numFmtId="41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0" fontId="0" fillId="0" borderId="1" xfId="0" applyBorder="1">
      <alignment vertical="center"/>
    </xf>
    <xf numFmtId="41" fontId="8" fillId="0" borderId="1" xfId="2" applyFont="1" applyFill="1" applyBorder="1" applyAlignment="1">
      <alignment horizontal="right" vertical="center" wrapText="1"/>
    </xf>
    <xf numFmtId="41" fontId="18" fillId="0" borderId="1" xfId="2" applyFont="1" applyFill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2" fillId="2" borderId="1" xfId="0" applyFont="1" applyFill="1" applyBorder="1" applyAlignment="1">
      <alignment horizontal="right" vertical="center"/>
    </xf>
    <xf numFmtId="41" fontId="23" fillId="0" borderId="1" xfId="2" applyFont="1" applyFill="1" applyBorder="1" applyAlignment="1">
      <alignment horizontal="right" vertical="center" wrapText="1"/>
    </xf>
    <xf numFmtId="0" fontId="2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41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164" fontId="26" fillId="0" borderId="0" xfId="0" applyNumberFormat="1" applyFont="1" applyAlignment="1">
      <alignment horizontal="left"/>
    </xf>
    <xf numFmtId="169" fontId="26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2" fillId="0" borderId="1" xfId="0" quotePrefix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1" fontId="27" fillId="0" borderId="1" xfId="2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41" fontId="29" fillId="0" borderId="1" xfId="2" applyFont="1" applyFill="1" applyBorder="1" applyAlignment="1">
      <alignment horizontal="center" vertical="center"/>
    </xf>
    <xf numFmtId="0" fontId="29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41" fontId="32" fillId="0" borderId="1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right" vertical="center"/>
    </xf>
    <xf numFmtId="0" fontId="32" fillId="0" borderId="0" xfId="0" applyFont="1">
      <alignment vertical="center"/>
    </xf>
    <xf numFmtId="0" fontId="28" fillId="0" borderId="1" xfId="0" quotePrefix="1" applyFont="1" applyBorder="1" applyAlignment="1">
      <alignment horizontal="left" vertical="center" wrapText="1"/>
    </xf>
    <xf numFmtId="0" fontId="28" fillId="0" borderId="1" xfId="0" quotePrefix="1" applyFont="1" applyBorder="1" applyAlignment="1">
      <alignment horizontal="left" vertical="center"/>
    </xf>
    <xf numFmtId="41" fontId="29" fillId="0" borderId="1" xfId="2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41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B2" sqref="B2:Z33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16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42" ht="26.25" x14ac:dyDescent="0.4">
      <c r="A3" s="16"/>
      <c r="B3" s="135">
        <v>45931</v>
      </c>
      <c r="C3" s="135"/>
      <c r="D3" s="13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42" ht="45" x14ac:dyDescent="0.25">
      <c r="A4" s="1"/>
      <c r="B4" s="18" t="s">
        <v>1</v>
      </c>
      <c r="C4" s="18" t="s">
        <v>2</v>
      </c>
      <c r="D4" s="19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4</v>
      </c>
      <c r="S4" s="18" t="s">
        <v>5</v>
      </c>
      <c r="T4" s="18" t="s">
        <v>6</v>
      </c>
      <c r="U4" s="18" t="s">
        <v>17</v>
      </c>
      <c r="V4" s="18" t="s">
        <v>18</v>
      </c>
      <c r="W4" s="18" t="s">
        <v>73</v>
      </c>
      <c r="X4" s="18" t="s">
        <v>19</v>
      </c>
      <c r="Y4" s="18" t="s">
        <v>20</v>
      </c>
      <c r="Z4" s="18" t="s">
        <v>21</v>
      </c>
      <c r="AE4" s="21" t="s">
        <v>21</v>
      </c>
      <c r="AF4" s="22" t="s">
        <v>37</v>
      </c>
      <c r="AG4" s="22" t="s">
        <v>38</v>
      </c>
      <c r="AH4" s="23" t="s">
        <v>21</v>
      </c>
      <c r="AI4" s="128" t="s">
        <v>37</v>
      </c>
      <c r="AJ4" s="129"/>
      <c r="AL4" s="34" t="s">
        <v>63</v>
      </c>
    </row>
    <row r="5" spans="1:42" ht="26.1" customHeight="1" x14ac:dyDescent="0.25">
      <c r="A5" s="1"/>
      <c r="B5" s="2">
        <v>1</v>
      </c>
      <c r="C5" s="110" t="s">
        <v>35</v>
      </c>
      <c r="D5" s="110" t="s">
        <v>3</v>
      </c>
      <c r="E5" s="111" t="s">
        <v>75</v>
      </c>
      <c r="F5" s="111"/>
      <c r="G5" s="111">
        <v>1</v>
      </c>
      <c r="H5" s="111"/>
      <c r="I5" s="127" t="s">
        <v>53</v>
      </c>
      <c r="J5" s="111"/>
      <c r="K5" s="111"/>
      <c r="L5" s="113">
        <v>33</v>
      </c>
      <c r="M5" s="113">
        <v>122</v>
      </c>
      <c r="N5" s="113">
        <v>55</v>
      </c>
      <c r="O5" s="113"/>
      <c r="P5" s="89">
        <f t="shared" ref="P5:P14" si="0">SUM(L5:O5)</f>
        <v>210</v>
      </c>
      <c r="Q5" s="84">
        <f>((data!$A$3/8)*L5)+((data!$B$3/8)*(M5+N5+O5))+(P5*$E$25)</f>
        <v>896625</v>
      </c>
      <c r="R5" s="84">
        <f t="shared" ref="R5:R14" si="1">IF(D5="Percobaan",0,IF(AND(E5="",G5&gt;0,H5="ok"),100000,IF(AND(E5="",G5&gt;0,H5=""),50000,IF(AND(E5=""),100000,0))))</f>
        <v>0</v>
      </c>
      <c r="S5" s="84">
        <f t="shared" ref="S5:S6" si="2">((P5/8)*1000)</f>
        <v>26250</v>
      </c>
      <c r="T5" s="84">
        <f t="shared" ref="T5:T7" si="3">IF(AND(G5&gt;0,H5=""),50000,IF(AND(G5&gt;0,H5="ok"),G5*50000,0))</f>
        <v>50000</v>
      </c>
      <c r="U5" s="84">
        <f>IF(I5="+",P5/8*3000,IF(I5="-",0,P5/8*2000))</f>
        <v>78750</v>
      </c>
      <c r="V5" s="82">
        <f t="shared" ref="V5:V7" si="4">J5*-12500</f>
        <v>0</v>
      </c>
      <c r="W5" s="84"/>
      <c r="X5" s="84">
        <f t="shared" ref="X5:X12" si="5">IF(K5="ok",50000+AB5,0+AB5)</f>
        <v>0</v>
      </c>
      <c r="Y5" s="84">
        <v>4000</v>
      </c>
      <c r="Z5" s="84">
        <f t="shared" ref="Z5:Z16" si="6">CEILING(SUM(Q5:Y5),500)</f>
        <v>1056000</v>
      </c>
      <c r="AE5">
        <f t="shared" ref="AE5:AE16" si="7">P5/8</f>
        <v>26.25</v>
      </c>
      <c r="AG5">
        <f t="shared" ref="AG5:AG11" si="8">AE5-AF5</f>
        <v>26.25</v>
      </c>
      <c r="AH5">
        <f>AE5+AJ5</f>
        <v>26.25</v>
      </c>
      <c r="AI5" s="102"/>
      <c r="AJ5">
        <f>AI5/8</f>
        <v>0</v>
      </c>
      <c r="AL5" s="95">
        <v>565000</v>
      </c>
      <c r="AM5" t="str">
        <f>C5</f>
        <v>Arif</v>
      </c>
      <c r="AO5" s="4"/>
      <c r="AP5">
        <f>AO5*AN5</f>
        <v>0</v>
      </c>
    </row>
    <row r="6" spans="1:42" ht="26.1" customHeight="1" x14ac:dyDescent="0.25">
      <c r="A6" s="1"/>
      <c r="B6" s="2">
        <v>3</v>
      </c>
      <c r="C6" s="110" t="s">
        <v>67</v>
      </c>
      <c r="D6" s="110" t="s">
        <v>3</v>
      </c>
      <c r="E6" s="111"/>
      <c r="F6" s="111"/>
      <c r="G6" s="111">
        <v>1</v>
      </c>
      <c r="H6" s="111"/>
      <c r="I6" s="112"/>
      <c r="J6" s="111"/>
      <c r="K6" s="111"/>
      <c r="L6" s="113">
        <v>6</v>
      </c>
      <c r="M6" s="113">
        <v>75</v>
      </c>
      <c r="N6" s="113">
        <v>33</v>
      </c>
      <c r="O6" s="113">
        <v>88</v>
      </c>
      <c r="P6" s="89">
        <f t="shared" si="0"/>
        <v>202</v>
      </c>
      <c r="Q6" s="84">
        <f>((data!$A$3/8)*L6)+((data!$B$3/8)*(M6+N6+O6))+(P6*$E$25)</f>
        <v>859250</v>
      </c>
      <c r="R6" s="84">
        <f t="shared" si="1"/>
        <v>50000</v>
      </c>
      <c r="S6" s="84">
        <f t="shared" si="2"/>
        <v>25250</v>
      </c>
      <c r="T6" s="84">
        <f t="shared" si="3"/>
        <v>50000</v>
      </c>
      <c r="U6" s="84">
        <f>IF(I6="+",P6/8*3000,IF(I6="-",0,P6/8*2000))</f>
        <v>50500</v>
      </c>
      <c r="V6" s="82">
        <f t="shared" si="4"/>
        <v>0</v>
      </c>
      <c r="W6" s="84"/>
      <c r="X6" s="84">
        <f t="shared" si="5"/>
        <v>0</v>
      </c>
      <c r="Y6" s="84">
        <v>800</v>
      </c>
      <c r="Z6" s="84">
        <f t="shared" si="6"/>
        <v>1036000</v>
      </c>
      <c r="AE6">
        <f t="shared" si="7"/>
        <v>25.25</v>
      </c>
      <c r="AG6">
        <f t="shared" si="8"/>
        <v>25.25</v>
      </c>
      <c r="AH6">
        <f t="shared" ref="AH6:AH16" si="9">AE6+AJ6</f>
        <v>25.25</v>
      </c>
      <c r="AI6" s="20"/>
      <c r="AJ6">
        <f t="shared" ref="AJ6:AJ15" si="10">AI6/8</f>
        <v>0</v>
      </c>
      <c r="AL6" s="95">
        <v>774500</v>
      </c>
      <c r="AM6" t="str">
        <f t="shared" ref="AM6:AM18" si="11">C6</f>
        <v>Gilang</v>
      </c>
      <c r="AO6" s="4"/>
      <c r="AP6">
        <f t="shared" ref="AP6:AP17" si="12">AO6*AN6</f>
        <v>0</v>
      </c>
    </row>
    <row r="7" spans="1:42" s="40" customFormat="1" ht="26.1" customHeight="1" x14ac:dyDescent="0.25">
      <c r="A7" s="80"/>
      <c r="B7" s="2">
        <v>2</v>
      </c>
      <c r="C7" s="114" t="s">
        <v>71</v>
      </c>
      <c r="D7" s="110" t="s">
        <v>3</v>
      </c>
      <c r="E7" s="111" t="s">
        <v>74</v>
      </c>
      <c r="F7" s="115" t="s">
        <v>65</v>
      </c>
      <c r="G7" s="115">
        <v>1</v>
      </c>
      <c r="H7" s="115"/>
      <c r="I7" s="127" t="s">
        <v>50</v>
      </c>
      <c r="J7" s="111">
        <v>1</v>
      </c>
      <c r="K7" s="115"/>
      <c r="L7" s="113">
        <v>97</v>
      </c>
      <c r="M7" s="113"/>
      <c r="N7" s="113">
        <v>7</v>
      </c>
      <c r="O7" s="116"/>
      <c r="P7" s="89">
        <f t="shared" si="0"/>
        <v>104</v>
      </c>
      <c r="Q7" s="84">
        <f>((data!$A$3/8)*L7)+((data!$B$3/8)*(M7+N7+O7))+(P7*$E$25)</f>
        <v>454125</v>
      </c>
      <c r="R7" s="84">
        <f t="shared" si="1"/>
        <v>0</v>
      </c>
      <c r="S7" s="84">
        <v>0</v>
      </c>
      <c r="T7" s="84">
        <f t="shared" si="3"/>
        <v>50000</v>
      </c>
      <c r="U7" s="84">
        <f>IF(I7="+",P7/8*3000,IF(I7="-",0,P7/8*2000))</f>
        <v>0</v>
      </c>
      <c r="V7" s="82">
        <f t="shared" si="4"/>
        <v>-12500</v>
      </c>
      <c r="W7" s="84"/>
      <c r="X7" s="84">
        <f t="shared" si="5"/>
        <v>0</v>
      </c>
      <c r="Y7" s="84">
        <v>0</v>
      </c>
      <c r="Z7" s="84">
        <f t="shared" si="6"/>
        <v>492000</v>
      </c>
      <c r="AE7" s="40">
        <f t="shared" si="7"/>
        <v>13</v>
      </c>
      <c r="AG7" s="40">
        <f t="shared" si="8"/>
        <v>13</v>
      </c>
      <c r="AH7" s="40">
        <f t="shared" si="9"/>
        <v>13</v>
      </c>
      <c r="AI7" s="88"/>
      <c r="AJ7" s="40">
        <f t="shared" si="10"/>
        <v>0</v>
      </c>
      <c r="AL7" s="96">
        <v>959000</v>
      </c>
      <c r="AM7" s="40" t="str">
        <f t="shared" si="11"/>
        <v>Hafis</v>
      </c>
      <c r="AO7" s="81"/>
      <c r="AP7" s="40">
        <f t="shared" si="12"/>
        <v>0</v>
      </c>
    </row>
    <row r="8" spans="1:42" ht="26.1" customHeight="1" x14ac:dyDescent="0.25">
      <c r="A8" s="1"/>
      <c r="B8" s="2">
        <v>4</v>
      </c>
      <c r="C8" s="114" t="s">
        <v>27</v>
      </c>
      <c r="D8" s="110" t="s">
        <v>3</v>
      </c>
      <c r="E8" s="111"/>
      <c r="F8" s="115"/>
      <c r="G8" s="115">
        <v>4</v>
      </c>
      <c r="H8" s="115" t="s">
        <v>23</v>
      </c>
      <c r="I8" s="112" t="s">
        <v>53</v>
      </c>
      <c r="J8" s="111"/>
      <c r="K8" s="115" t="s">
        <v>23</v>
      </c>
      <c r="L8" s="116">
        <v>3</v>
      </c>
      <c r="M8" s="116">
        <v>182</v>
      </c>
      <c r="N8" s="116">
        <v>50</v>
      </c>
      <c r="O8" s="116"/>
      <c r="P8" s="89">
        <f t="shared" si="0"/>
        <v>235</v>
      </c>
      <c r="Q8" s="84">
        <f>((data!$A$3/8)*L8)+((data!$B$3/8)*(M8+N8+O8))+(P8*$E$25)</f>
        <v>999125</v>
      </c>
      <c r="R8" s="84">
        <f t="shared" si="1"/>
        <v>100000</v>
      </c>
      <c r="S8" s="84">
        <f t="shared" ref="S8:S17" si="13">((P8/8)*1000)</f>
        <v>29375</v>
      </c>
      <c r="T8" s="84">
        <f t="shared" ref="T8:T16" si="14">IF(AND(G8&gt;0,H8=""),50000,IF(AND(G8&gt;0,H8="ok"),G8*50000,0))</f>
        <v>200000</v>
      </c>
      <c r="U8" s="84">
        <f>IF(I8="+",P8/8*3000,IF(I8="-",0,P8/8*2000))</f>
        <v>88125</v>
      </c>
      <c r="V8" s="82">
        <f t="shared" ref="V8:V16" si="15">J8*-12500</f>
        <v>0</v>
      </c>
      <c r="W8" s="109"/>
      <c r="X8" s="84">
        <f t="shared" si="5"/>
        <v>50000</v>
      </c>
      <c r="Y8" s="84">
        <v>39600</v>
      </c>
      <c r="Z8" s="84">
        <f t="shared" si="6"/>
        <v>1506500</v>
      </c>
      <c r="AE8">
        <f t="shared" si="7"/>
        <v>29.375</v>
      </c>
      <c r="AG8">
        <f t="shared" si="8"/>
        <v>29.375</v>
      </c>
      <c r="AH8">
        <f t="shared" si="9"/>
        <v>29.375</v>
      </c>
      <c r="AI8" s="20"/>
      <c r="AJ8">
        <f t="shared" si="10"/>
        <v>0</v>
      </c>
      <c r="AL8" s="95">
        <v>1158000</v>
      </c>
      <c r="AM8" t="str">
        <f t="shared" ref="AM8:AM15" si="16">C8</f>
        <v>Henbediona</v>
      </c>
      <c r="AO8" s="4"/>
      <c r="AP8">
        <f t="shared" si="12"/>
        <v>0</v>
      </c>
    </row>
    <row r="9" spans="1:42" ht="26.1" customHeight="1" x14ac:dyDescent="0.25">
      <c r="A9" s="1"/>
      <c r="B9" s="2">
        <v>5</v>
      </c>
      <c r="C9" s="110" t="s">
        <v>49</v>
      </c>
      <c r="D9" s="110" t="s">
        <v>25</v>
      </c>
      <c r="E9" s="111" t="s">
        <v>75</v>
      </c>
      <c r="F9" s="115"/>
      <c r="G9" s="115"/>
      <c r="H9" s="115"/>
      <c r="I9" s="112" t="s">
        <v>50</v>
      </c>
      <c r="J9" s="111"/>
      <c r="K9" s="115"/>
      <c r="L9" s="116">
        <v>11</v>
      </c>
      <c r="M9" s="116"/>
      <c r="N9" s="116">
        <v>159</v>
      </c>
      <c r="O9" s="116"/>
      <c r="P9" s="89">
        <f t="shared" si="0"/>
        <v>170</v>
      </c>
      <c r="Q9" s="84">
        <f>((data!$A$3/8)*L9)+((data!$B$3/8)*(M9+N9+O9))+(P9*$E$25)</f>
        <v>723875</v>
      </c>
      <c r="R9" s="84">
        <f t="shared" si="1"/>
        <v>0</v>
      </c>
      <c r="S9" s="84">
        <f t="shared" si="13"/>
        <v>21250</v>
      </c>
      <c r="T9" s="84">
        <f t="shared" si="14"/>
        <v>0</v>
      </c>
      <c r="U9" s="84">
        <f t="shared" ref="U9:U11" si="17">IF(I9="+",P9/8*3000,IF(I9="-",0,P9/8*2000))</f>
        <v>0</v>
      </c>
      <c r="V9" s="82">
        <f t="shared" si="15"/>
        <v>0</v>
      </c>
      <c r="W9" s="84"/>
      <c r="X9" s="84">
        <f t="shared" si="5"/>
        <v>0</v>
      </c>
      <c r="Y9" s="84">
        <v>8800</v>
      </c>
      <c r="Z9" s="84">
        <f t="shared" si="6"/>
        <v>754000</v>
      </c>
      <c r="AE9">
        <f t="shared" si="7"/>
        <v>21.25</v>
      </c>
      <c r="AG9">
        <f t="shared" si="8"/>
        <v>21.25</v>
      </c>
      <c r="AH9">
        <f t="shared" si="9"/>
        <v>21.25</v>
      </c>
      <c r="AI9" s="20"/>
      <c r="AJ9">
        <f t="shared" si="10"/>
        <v>0</v>
      </c>
      <c r="AL9" s="95">
        <v>812500</v>
      </c>
      <c r="AM9" t="str">
        <f t="shared" si="16"/>
        <v>Iman</v>
      </c>
      <c r="AO9" s="4"/>
      <c r="AP9">
        <f t="shared" si="12"/>
        <v>0</v>
      </c>
    </row>
    <row r="10" spans="1:42" ht="26.1" customHeight="1" x14ac:dyDescent="0.25">
      <c r="A10" s="1"/>
      <c r="B10" s="2">
        <v>6</v>
      </c>
      <c r="C10" s="110" t="s">
        <v>30</v>
      </c>
      <c r="D10" s="110" t="s">
        <v>25</v>
      </c>
      <c r="E10" s="111" t="s">
        <v>75</v>
      </c>
      <c r="F10" s="115" t="s">
        <v>65</v>
      </c>
      <c r="G10" s="115"/>
      <c r="H10" s="115"/>
      <c r="I10" s="127" t="s">
        <v>53</v>
      </c>
      <c r="J10" s="111"/>
      <c r="K10" s="115"/>
      <c r="L10" s="116">
        <v>114</v>
      </c>
      <c r="M10" s="117">
        <v>2</v>
      </c>
      <c r="N10" s="116">
        <v>100</v>
      </c>
      <c r="O10" s="116"/>
      <c r="P10" s="89">
        <f t="shared" si="0"/>
        <v>216</v>
      </c>
      <c r="Q10" s="84">
        <f>((data!$A$3/8)*L10)+((data!$B$3/8)*(M10+N10+O10))+(P10*$E$25)</f>
        <v>932250</v>
      </c>
      <c r="R10" s="84">
        <f t="shared" si="1"/>
        <v>0</v>
      </c>
      <c r="S10" s="84">
        <v>0</v>
      </c>
      <c r="T10" s="84">
        <f t="shared" si="14"/>
        <v>0</v>
      </c>
      <c r="U10" s="84">
        <f t="shared" si="17"/>
        <v>81000</v>
      </c>
      <c r="V10" s="82">
        <f t="shared" si="15"/>
        <v>0</v>
      </c>
      <c r="W10" s="84"/>
      <c r="X10" s="84">
        <f t="shared" si="5"/>
        <v>0</v>
      </c>
      <c r="Y10" s="84">
        <v>3200</v>
      </c>
      <c r="Z10" s="84">
        <f t="shared" si="6"/>
        <v>1016500</v>
      </c>
      <c r="AE10">
        <f t="shared" si="7"/>
        <v>27</v>
      </c>
      <c r="AG10">
        <f t="shared" si="8"/>
        <v>27</v>
      </c>
      <c r="AH10">
        <f t="shared" si="9"/>
        <v>27</v>
      </c>
      <c r="AI10" s="20"/>
      <c r="AJ10">
        <f t="shared" si="10"/>
        <v>0</v>
      </c>
      <c r="AL10" s="95">
        <v>1232000</v>
      </c>
      <c r="AM10" t="str">
        <f t="shared" si="16"/>
        <v>Ridwan</v>
      </c>
      <c r="AO10" s="4"/>
      <c r="AP10">
        <f t="shared" si="12"/>
        <v>0</v>
      </c>
    </row>
    <row r="11" spans="1:42" s="34" customFormat="1" ht="26.1" customHeight="1" x14ac:dyDescent="0.25">
      <c r="A11" s="90"/>
      <c r="B11" s="91">
        <v>7</v>
      </c>
      <c r="C11" s="118" t="s">
        <v>72</v>
      </c>
      <c r="D11" s="119" t="s">
        <v>3</v>
      </c>
      <c r="E11" s="122" t="s">
        <v>52</v>
      </c>
      <c r="F11" s="120"/>
      <c r="G11" s="120">
        <v>3</v>
      </c>
      <c r="H11" s="120" t="s">
        <v>23</v>
      </c>
      <c r="I11" s="121" t="s">
        <v>53</v>
      </c>
      <c r="J11" s="122"/>
      <c r="K11" s="120" t="s">
        <v>23</v>
      </c>
      <c r="L11" s="123">
        <v>218</v>
      </c>
      <c r="M11" s="123">
        <v>3</v>
      </c>
      <c r="N11" s="123"/>
      <c r="O11" s="123"/>
      <c r="P11" s="89">
        <f t="shared" si="0"/>
        <v>221</v>
      </c>
      <c r="Q11" s="76">
        <f>((data!$A$3/8)*L11)+((data!$B$3/8)*(M11+N11+O11))+(P11*$E$25)</f>
        <v>966500</v>
      </c>
      <c r="R11" s="76">
        <f t="shared" si="1"/>
        <v>0</v>
      </c>
      <c r="S11" s="84">
        <f t="shared" si="13"/>
        <v>27625</v>
      </c>
      <c r="T11" s="76">
        <f t="shared" si="14"/>
        <v>150000</v>
      </c>
      <c r="U11" s="84">
        <f t="shared" si="17"/>
        <v>82875</v>
      </c>
      <c r="V11" s="92">
        <f t="shared" si="15"/>
        <v>0</v>
      </c>
      <c r="W11" s="84"/>
      <c r="X11" s="84">
        <f t="shared" si="5"/>
        <v>50000</v>
      </c>
      <c r="Y11" s="76">
        <v>7600</v>
      </c>
      <c r="Z11" s="76">
        <f t="shared" si="6"/>
        <v>1285000</v>
      </c>
      <c r="AE11" s="34">
        <f t="shared" si="7"/>
        <v>27.625</v>
      </c>
      <c r="AG11" s="34">
        <f t="shared" si="8"/>
        <v>27.625</v>
      </c>
      <c r="AH11" s="34">
        <f t="shared" si="9"/>
        <v>27.625</v>
      </c>
      <c r="AI11" s="103"/>
      <c r="AJ11" s="34">
        <f t="shared" si="10"/>
        <v>0</v>
      </c>
      <c r="AL11" s="97">
        <v>1010500</v>
      </c>
      <c r="AM11" s="34" t="str">
        <f t="shared" si="16"/>
        <v>riniroma</v>
      </c>
      <c r="AO11" s="93"/>
      <c r="AP11" s="34">
        <f t="shared" si="12"/>
        <v>0</v>
      </c>
    </row>
    <row r="12" spans="1:42" s="34" customFormat="1" ht="26.1" customHeight="1" x14ac:dyDescent="0.25">
      <c r="A12" s="90"/>
      <c r="B12" s="91">
        <v>9</v>
      </c>
      <c r="C12" s="118" t="s">
        <v>64</v>
      </c>
      <c r="D12" s="119" t="s">
        <v>3</v>
      </c>
      <c r="E12" s="122" t="s">
        <v>51</v>
      </c>
      <c r="F12" s="120"/>
      <c r="G12" s="120">
        <v>1</v>
      </c>
      <c r="H12" s="120"/>
      <c r="I12" s="121" t="s">
        <v>50</v>
      </c>
      <c r="J12" s="122"/>
      <c r="K12" s="120"/>
      <c r="L12" s="123">
        <v>11</v>
      </c>
      <c r="M12" s="123">
        <v>71</v>
      </c>
      <c r="N12" s="123">
        <v>84</v>
      </c>
      <c r="O12" s="123"/>
      <c r="P12" s="89">
        <f t="shared" si="0"/>
        <v>166</v>
      </c>
      <c r="Q12" s="76">
        <f>((data!$A$3/8)*L12)+((data!$B$3/8)*(M12+N12+O12))+(P12*$E$25)</f>
        <v>706875</v>
      </c>
      <c r="R12" s="76">
        <f t="shared" si="1"/>
        <v>0</v>
      </c>
      <c r="S12" s="76">
        <f t="shared" si="13"/>
        <v>20750</v>
      </c>
      <c r="T12" s="76">
        <f t="shared" si="14"/>
        <v>50000</v>
      </c>
      <c r="U12" s="84">
        <f t="shared" ref="U12:U14" si="18">IF(OR(D12="Percobaan",D12=""),0,IF(I12="+",P12/8*3000,IF(I12="-",0,P12/8*2000)))</f>
        <v>0</v>
      </c>
      <c r="V12" s="92">
        <f t="shared" si="15"/>
        <v>0</v>
      </c>
      <c r="W12" s="84"/>
      <c r="X12" s="84">
        <f t="shared" si="5"/>
        <v>0</v>
      </c>
      <c r="Y12" s="76">
        <v>13600</v>
      </c>
      <c r="Z12" s="76">
        <f t="shared" si="6"/>
        <v>791500</v>
      </c>
      <c r="AE12" s="34">
        <f t="shared" si="7"/>
        <v>20.75</v>
      </c>
      <c r="AG12" s="34">
        <f t="shared" ref="AG12:AG16" si="19">AE12-AF12</f>
        <v>20.75</v>
      </c>
      <c r="AH12" s="34">
        <f t="shared" si="9"/>
        <v>20.75</v>
      </c>
      <c r="AI12" s="103"/>
      <c r="AJ12" s="34">
        <f t="shared" si="10"/>
        <v>0</v>
      </c>
      <c r="AL12" s="97">
        <v>846000</v>
      </c>
      <c r="AM12" s="34" t="str">
        <f t="shared" si="16"/>
        <v>Ronald</v>
      </c>
      <c r="AO12" s="93"/>
      <c r="AP12" s="34">
        <f t="shared" si="12"/>
        <v>0</v>
      </c>
    </row>
    <row r="13" spans="1:42" s="34" customFormat="1" ht="26.1" customHeight="1" x14ac:dyDescent="0.25">
      <c r="A13" s="90"/>
      <c r="B13" s="91">
        <v>8</v>
      </c>
      <c r="C13" s="118" t="s">
        <v>68</v>
      </c>
      <c r="D13" s="110" t="s">
        <v>3</v>
      </c>
      <c r="E13" s="122" t="s">
        <v>52</v>
      </c>
      <c r="F13" s="120"/>
      <c r="G13" s="120">
        <v>1</v>
      </c>
      <c r="H13" s="120"/>
      <c r="I13" s="121"/>
      <c r="J13" s="122"/>
      <c r="K13" s="120"/>
      <c r="L13" s="124">
        <v>3</v>
      </c>
      <c r="M13" s="123">
        <v>41</v>
      </c>
      <c r="N13" s="123">
        <v>8</v>
      </c>
      <c r="O13" s="123">
        <v>152</v>
      </c>
      <c r="P13" s="89">
        <f t="shared" si="0"/>
        <v>204</v>
      </c>
      <c r="Q13" s="76">
        <f>((data!$A$3/8)*L13)+((data!$B$3/8)*(M13+N13+O13))+(P13*$E$25)</f>
        <v>867375</v>
      </c>
      <c r="R13" s="76">
        <f t="shared" si="1"/>
        <v>0</v>
      </c>
      <c r="S13" s="76">
        <f t="shared" si="13"/>
        <v>25500</v>
      </c>
      <c r="T13" s="76">
        <f t="shared" si="14"/>
        <v>50000</v>
      </c>
      <c r="U13" s="84">
        <f t="shared" si="18"/>
        <v>51000</v>
      </c>
      <c r="V13" s="92">
        <f t="shared" si="15"/>
        <v>0</v>
      </c>
      <c r="W13" s="84"/>
      <c r="X13" s="76">
        <f t="shared" ref="X13:X16" si="20">IF(K13="ok",50000+AB13,0+AB13)</f>
        <v>0</v>
      </c>
      <c r="Y13" s="76">
        <v>7600</v>
      </c>
      <c r="Z13" s="76">
        <f>CEILING(SUM(Q13:Y13),500)</f>
        <v>1001500</v>
      </c>
      <c r="AE13" s="34">
        <f t="shared" si="7"/>
        <v>25.5</v>
      </c>
      <c r="AG13" s="34">
        <f t="shared" si="19"/>
        <v>25.5</v>
      </c>
      <c r="AH13" s="34">
        <f t="shared" si="9"/>
        <v>25.5</v>
      </c>
      <c r="AI13" s="103"/>
      <c r="AJ13" s="34">
        <f t="shared" si="10"/>
        <v>0</v>
      </c>
      <c r="AL13" s="97">
        <v>1414000</v>
      </c>
      <c r="AM13" s="34" t="str">
        <f t="shared" si="16"/>
        <v>Yulika</v>
      </c>
      <c r="AO13" s="93"/>
      <c r="AP13" s="34">
        <f t="shared" si="12"/>
        <v>0</v>
      </c>
    </row>
    <row r="14" spans="1:42" ht="26.1" customHeight="1" x14ac:dyDescent="0.25">
      <c r="A14" s="1"/>
      <c r="B14" s="2">
        <v>10</v>
      </c>
      <c r="C14" s="114" t="s">
        <v>50</v>
      </c>
      <c r="D14" s="110" t="s">
        <v>25</v>
      </c>
      <c r="E14" s="111"/>
      <c r="F14" s="115"/>
      <c r="G14" s="115"/>
      <c r="H14" s="115"/>
      <c r="I14" s="112"/>
      <c r="J14" s="111"/>
      <c r="K14" s="115"/>
      <c r="L14" s="116"/>
      <c r="M14" s="116"/>
      <c r="N14" s="116"/>
      <c r="O14" s="116"/>
      <c r="P14" s="94">
        <f t="shared" si="0"/>
        <v>0</v>
      </c>
      <c r="Q14" s="84">
        <f>((data!$A$3/8)*L14)+((data!$B$3/8)*(M14+N14+O14))+(P14*$E$25)</f>
        <v>0</v>
      </c>
      <c r="R14" s="84">
        <f t="shared" si="1"/>
        <v>0</v>
      </c>
      <c r="S14" s="84">
        <f t="shared" si="13"/>
        <v>0</v>
      </c>
      <c r="T14" s="84">
        <f t="shared" si="14"/>
        <v>0</v>
      </c>
      <c r="U14" s="76">
        <f t="shared" si="18"/>
        <v>0</v>
      </c>
      <c r="V14" s="82">
        <f t="shared" si="15"/>
        <v>0</v>
      </c>
      <c r="W14" s="84"/>
      <c r="X14" s="76">
        <f t="shared" si="20"/>
        <v>0</v>
      </c>
      <c r="Y14" s="84"/>
      <c r="Z14" s="84">
        <f t="shared" si="6"/>
        <v>0</v>
      </c>
      <c r="AE14">
        <f t="shared" si="7"/>
        <v>0</v>
      </c>
      <c r="AG14">
        <f t="shared" si="19"/>
        <v>0</v>
      </c>
      <c r="AH14">
        <f t="shared" si="9"/>
        <v>0</v>
      </c>
      <c r="AI14" s="20"/>
      <c r="AJ14">
        <f t="shared" si="10"/>
        <v>0</v>
      </c>
      <c r="AL14" s="95">
        <v>1131000</v>
      </c>
      <c r="AM14" t="str">
        <f t="shared" si="16"/>
        <v>-</v>
      </c>
      <c r="AO14" s="4"/>
      <c r="AP14">
        <f t="shared" si="12"/>
        <v>0</v>
      </c>
    </row>
    <row r="15" spans="1:42" ht="26.1" hidden="1" customHeight="1" x14ac:dyDescent="0.25">
      <c r="A15" s="1"/>
      <c r="B15" s="2">
        <v>11</v>
      </c>
      <c r="C15" s="125" t="s">
        <v>50</v>
      </c>
      <c r="D15" s="126"/>
      <c r="E15" s="111"/>
      <c r="F15" s="115"/>
      <c r="G15" s="115"/>
      <c r="H15" s="115"/>
      <c r="I15" s="112"/>
      <c r="J15" s="111"/>
      <c r="K15" s="115"/>
      <c r="L15" s="116"/>
      <c r="M15" s="116"/>
      <c r="N15" s="116"/>
      <c r="O15" s="116"/>
      <c r="P15" s="94">
        <f t="shared" ref="P15:P18" si="21">SUM(L15:O15)</f>
        <v>0</v>
      </c>
      <c r="Q15" s="84">
        <f>((data!$A$3/8)*L15)+((data!$B$3/8)*(M15+N15+O15))+(P15*$E$25)</f>
        <v>0</v>
      </c>
      <c r="R15" s="84"/>
      <c r="S15" s="84">
        <f t="shared" si="13"/>
        <v>0</v>
      </c>
      <c r="T15" s="84">
        <f t="shared" si="14"/>
        <v>0</v>
      </c>
      <c r="U15" s="84">
        <f>IF(I15="+",P15/8*3000,IF(I15="-",0,P15/8*2000))</f>
        <v>0</v>
      </c>
      <c r="V15" s="82">
        <f t="shared" si="15"/>
        <v>0</v>
      </c>
      <c r="W15" s="84"/>
      <c r="X15" s="76">
        <f t="shared" si="20"/>
        <v>0</v>
      </c>
      <c r="Y15" s="84"/>
      <c r="Z15" s="84">
        <f t="shared" si="6"/>
        <v>0</v>
      </c>
      <c r="AE15">
        <f t="shared" si="7"/>
        <v>0</v>
      </c>
      <c r="AG15">
        <f t="shared" si="19"/>
        <v>0</v>
      </c>
      <c r="AH15">
        <f t="shared" si="9"/>
        <v>0</v>
      </c>
      <c r="AJ15">
        <f t="shared" si="10"/>
        <v>0</v>
      </c>
      <c r="AL15" s="95">
        <v>1055000</v>
      </c>
      <c r="AM15" t="str">
        <f t="shared" si="16"/>
        <v>-</v>
      </c>
      <c r="AO15" s="4"/>
      <c r="AP15">
        <f t="shared" si="12"/>
        <v>0</v>
      </c>
    </row>
    <row r="16" spans="1:42" ht="26.1" hidden="1" customHeight="1" x14ac:dyDescent="0.25">
      <c r="A16" s="1"/>
      <c r="B16" s="2"/>
      <c r="C16" s="104"/>
      <c r="D16" s="105"/>
      <c r="E16" s="2"/>
      <c r="F16" s="106"/>
      <c r="G16" s="75"/>
      <c r="H16" s="75"/>
      <c r="I16" s="107"/>
      <c r="J16" s="106"/>
      <c r="K16" s="108"/>
      <c r="L16" s="20"/>
      <c r="M16" s="20"/>
      <c r="N16" s="20"/>
      <c r="O16" s="20"/>
      <c r="P16" s="94">
        <f t="shared" si="21"/>
        <v>0</v>
      </c>
      <c r="Q16" s="84">
        <f>((data!$A$3/8)*L16)+((data!$B$3/8)*(M16+N16+O16))+(P16*$E$25)</f>
        <v>0</v>
      </c>
      <c r="R16" s="84"/>
      <c r="S16" s="84">
        <f t="shared" si="13"/>
        <v>0</v>
      </c>
      <c r="T16" s="84">
        <f t="shared" si="14"/>
        <v>0</v>
      </c>
      <c r="U16" s="84">
        <f>IF(I16="+",P16/8*3000,IF(I16="-",0,P16/8*2000))</f>
        <v>0</v>
      </c>
      <c r="V16" s="82">
        <f t="shared" si="15"/>
        <v>0</v>
      </c>
      <c r="W16" s="84"/>
      <c r="X16" s="76">
        <f t="shared" si="20"/>
        <v>0</v>
      </c>
      <c r="Y16" s="84"/>
      <c r="Z16" s="84">
        <f t="shared" si="6"/>
        <v>0</v>
      </c>
      <c r="AE16">
        <f t="shared" si="7"/>
        <v>0</v>
      </c>
      <c r="AG16">
        <f t="shared" si="19"/>
        <v>0</v>
      </c>
      <c r="AH16">
        <f t="shared" si="9"/>
        <v>0</v>
      </c>
      <c r="AL16" s="95">
        <v>0</v>
      </c>
      <c r="AM16">
        <f t="shared" si="11"/>
        <v>0</v>
      </c>
      <c r="AO16" s="4"/>
      <c r="AP16">
        <f t="shared" si="12"/>
        <v>0</v>
      </c>
    </row>
    <row r="17" spans="1:42" ht="26.1" hidden="1" customHeight="1" x14ac:dyDescent="0.25">
      <c r="A17" s="1"/>
      <c r="B17" s="2">
        <v>13</v>
      </c>
      <c r="C17" s="85"/>
      <c r="D17" s="74"/>
      <c r="E17" s="73"/>
      <c r="F17" s="78"/>
      <c r="G17" s="78"/>
      <c r="H17" s="78"/>
      <c r="I17" s="41"/>
      <c r="J17" s="78"/>
      <c r="K17" s="78"/>
      <c r="L17" s="20"/>
      <c r="M17" s="79"/>
      <c r="N17" s="79"/>
      <c r="O17" s="79"/>
      <c r="P17" s="77">
        <f t="shared" si="21"/>
        <v>0</v>
      </c>
      <c r="Q17" s="84">
        <f>((data!$A$3/8)*L17)+((data!$B$3/8)*(M17+N17+O17))+(P17*$E$25)</f>
        <v>0</v>
      </c>
      <c r="R17" s="84">
        <f t="shared" ref="R17" si="22">IF(D17="Percobaan",0,IF(AND(E17="",G17&gt;0,H17="ok"),100000,IF(AND(E17="",G17&gt;0,H17=""),50000,IF(AND(E17=""),100000,0))))</f>
        <v>100000</v>
      </c>
      <c r="S17" s="84">
        <f t="shared" si="13"/>
        <v>0</v>
      </c>
      <c r="T17" s="84">
        <f t="shared" ref="T17" si="23">IF(AND(G17&gt;0,H17=""),50000,IF(AND(G17&gt;0,H17="ok"),G17*50000,0))</f>
        <v>0</v>
      </c>
      <c r="U17" s="84">
        <f t="shared" ref="U17" si="24">IF(OR(D17="Percobaan",D17=""),0,IF(I17="+",P17/8*3000,IF(I17="-",0,P17/8*2000)))</f>
        <v>0</v>
      </c>
      <c r="V17" s="82">
        <f t="shared" ref="V17" si="25">J17*-12500</f>
        <v>0</v>
      </c>
      <c r="W17" s="84"/>
      <c r="X17" s="84">
        <f>IF(K17="ok",50000+AB17,0+AB17)</f>
        <v>0</v>
      </c>
      <c r="Y17" s="84"/>
      <c r="Z17" s="84">
        <f t="shared" ref="Z17" si="26">CEILING(SUM(Q17:Y17),500)</f>
        <v>100000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95">
        <v>100000</v>
      </c>
      <c r="AM17">
        <f t="shared" si="11"/>
        <v>0</v>
      </c>
      <c r="AO17" s="4"/>
      <c r="AP17">
        <f t="shared" si="12"/>
        <v>0</v>
      </c>
    </row>
    <row r="18" spans="1:42" ht="26.1" hidden="1" customHeight="1" x14ac:dyDescent="0.25">
      <c r="A18" s="1"/>
      <c r="B18" s="2">
        <v>14</v>
      </c>
      <c r="C18" s="24"/>
      <c r="D18" s="74"/>
      <c r="E18" s="2">
        <v>0</v>
      </c>
      <c r="F18" s="75"/>
      <c r="G18" s="75"/>
      <c r="H18" s="75"/>
      <c r="I18" s="41" t="s">
        <v>50</v>
      </c>
      <c r="J18" s="75"/>
      <c r="K18" s="75"/>
      <c r="L18" s="20"/>
      <c r="M18" s="20"/>
      <c r="N18" s="20"/>
      <c r="O18" s="20"/>
      <c r="P18" s="76">
        <f t="shared" si="21"/>
        <v>0</v>
      </c>
      <c r="Q18" s="84">
        <f>((data!$A$3/8)*L18)+((data!$B$3/8)*(M18+N18+O18))+(P18*$E$25)</f>
        <v>0</v>
      </c>
      <c r="R18" s="84">
        <f t="shared" ref="R18" si="30">IF(D18="Percobaan",0,IF(AND(E18="",G18&gt;0,H18="ok"),100000,IF(AND(E18="",G18&gt;0,H18=""),50000,IF(AND(E18=""),100000,0))))</f>
        <v>0</v>
      </c>
      <c r="S18" s="84">
        <v>0</v>
      </c>
      <c r="T18" s="84">
        <f t="shared" ref="T18" si="31">IF(AND(G18&gt;0,H18=""),50000,IF(AND(G18&gt;0,H18="ok"),G18*50000,0))</f>
        <v>0</v>
      </c>
      <c r="U18" s="84">
        <f t="shared" ref="U18" si="32">IF(OR(D18="Percobaan",D18=""),0,IF(I18="+",P18/8*3000,IF(I18="-",0,P18/8*2000)))</f>
        <v>0</v>
      </c>
      <c r="V18" s="82">
        <f t="shared" ref="V18" si="33">J18*-12500</f>
        <v>0</v>
      </c>
      <c r="W18" s="84"/>
      <c r="X18" s="84">
        <f>IF(K18="ok",50000+AB18,0+AB18)</f>
        <v>0</v>
      </c>
      <c r="Y18" s="84"/>
      <c r="Z18" s="84">
        <f t="shared" ref="Z18" si="34">CEILING(SUM(Q18:Y18),500)</f>
        <v>0</v>
      </c>
      <c r="AF18">
        <f t="shared" si="28"/>
        <v>0</v>
      </c>
      <c r="AL18" s="95">
        <v>0</v>
      </c>
      <c r="AM18">
        <f t="shared" si="11"/>
        <v>0</v>
      </c>
    </row>
    <row r="19" spans="1:42" ht="26.1" customHeight="1" x14ac:dyDescent="0.25">
      <c r="A19" s="1"/>
      <c r="B19" s="18"/>
      <c r="C19" s="25"/>
      <c r="D19" s="25"/>
      <c r="E19" s="18"/>
      <c r="F19" s="25"/>
      <c r="G19" s="19"/>
      <c r="H19" s="19"/>
      <c r="I19" s="19"/>
      <c r="J19" s="18">
        <f>SUM(J5:J17)</f>
        <v>1</v>
      </c>
      <c r="K19" s="19"/>
      <c r="L19" s="26">
        <f>SUM(L5:L17)</f>
        <v>496</v>
      </c>
      <c r="M19" s="26">
        <f>SUM(M5:M18)</f>
        <v>496</v>
      </c>
      <c r="N19" s="26">
        <f>SUM(N5:N18)</f>
        <v>496</v>
      </c>
      <c r="O19" s="26">
        <f>SUM(O5:O17)</f>
        <v>240</v>
      </c>
      <c r="P19" s="27">
        <f>SUM(P5:P18)</f>
        <v>1728</v>
      </c>
      <c r="Q19" s="27">
        <f t="shared" ref="Q19:Z19" si="35">SUM(Q5:Q17)</f>
        <v>7406000</v>
      </c>
      <c r="R19" s="27">
        <f t="shared" si="35"/>
        <v>250000</v>
      </c>
      <c r="S19" s="27">
        <f t="shared" si="35"/>
        <v>176000</v>
      </c>
      <c r="T19" s="27">
        <f t="shared" si="35"/>
        <v>600000</v>
      </c>
      <c r="U19" s="27">
        <f t="shared" si="35"/>
        <v>432250</v>
      </c>
      <c r="V19" s="83">
        <f t="shared" si="35"/>
        <v>-12500</v>
      </c>
      <c r="W19" s="27">
        <f t="shared" si="35"/>
        <v>0</v>
      </c>
      <c r="X19" s="27">
        <f t="shared" si="35"/>
        <v>100000</v>
      </c>
      <c r="Y19" s="27">
        <f t="shared" si="35"/>
        <v>85200</v>
      </c>
      <c r="Z19" s="27">
        <f t="shared" si="35"/>
        <v>9039000</v>
      </c>
      <c r="AI19">
        <f>SUM(AI5:AI16)</f>
        <v>0</v>
      </c>
      <c r="AJ19">
        <f>SUM(AJ5:AJ16)</f>
        <v>0</v>
      </c>
      <c r="AL19" s="98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32">
        <f>L19+M19+N19</f>
        <v>1488</v>
      </c>
      <c r="M20" s="133"/>
      <c r="N20" s="133"/>
      <c r="X20" s="136">
        <f ca="1">NOW()</f>
        <v>45970.388668055559</v>
      </c>
      <c r="Y20" s="136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7"/>
      <c r="H22" s="4"/>
      <c r="I22" s="5"/>
      <c r="J22" s="5"/>
      <c r="K22" s="3"/>
      <c r="L22" s="14">
        <f>SUM(L19:N19)</f>
        <v>1488</v>
      </c>
      <c r="M22" s="13"/>
    </row>
    <row r="23" spans="1:42" ht="26.1" hidden="1" customHeight="1" x14ac:dyDescent="0.25">
      <c r="A23" s="1"/>
      <c r="B23" s="8"/>
      <c r="C23" s="8"/>
      <c r="D23" s="8"/>
      <c r="E23" s="8"/>
      <c r="F23" s="8"/>
      <c r="G23" s="8"/>
      <c r="H23" s="4"/>
      <c r="I23" s="4"/>
      <c r="J23" s="4"/>
      <c r="K23" s="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42" ht="26.1" hidden="1" customHeight="1" x14ac:dyDescent="0.25">
      <c r="A24" s="1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42" ht="48.75" customHeight="1" x14ac:dyDescent="0.25">
      <c r="A25" s="1"/>
      <c r="B25" s="32"/>
      <c r="C25" s="32" t="s">
        <v>33</v>
      </c>
      <c r="D25" s="32"/>
      <c r="E25" s="137">
        <f>IF(L20&gt;0,data!F3/L20)</f>
        <v>0</v>
      </c>
      <c r="F25" s="137"/>
      <c r="G25" s="8"/>
      <c r="H25" s="8"/>
      <c r="I25" s="8"/>
      <c r="J25" s="33" t="s">
        <v>69</v>
      </c>
      <c r="K25" s="33"/>
      <c r="L25" s="33"/>
      <c r="M25" s="33"/>
      <c r="N25" s="33"/>
      <c r="O25" s="33"/>
      <c r="P25" s="33"/>
      <c r="V25" s="4"/>
      <c r="W25" s="4"/>
    </row>
    <row r="26" spans="1:42" ht="26.1" hidden="1" customHeight="1" x14ac:dyDescent="0.25">
      <c r="A26" s="1"/>
      <c r="B26" s="31"/>
      <c r="C26" s="31"/>
      <c r="D26" s="31"/>
      <c r="E26" s="5"/>
      <c r="F26" s="5"/>
      <c r="G26" s="8"/>
      <c r="H26" s="8"/>
      <c r="I26" s="8"/>
      <c r="J26" s="8"/>
      <c r="K26" s="15"/>
      <c r="L26" s="15"/>
      <c r="M26" s="15"/>
      <c r="N26" s="15"/>
      <c r="O26" s="1"/>
      <c r="P26" s="1"/>
      <c r="V26" s="4"/>
      <c r="W26" s="4"/>
    </row>
    <row r="27" spans="1:42" ht="26.1" hidden="1" customHeight="1" x14ac:dyDescent="0.25">
      <c r="A27" s="1"/>
      <c r="B27" s="5"/>
      <c r="C27" s="5"/>
      <c r="D27" s="5"/>
      <c r="E27" s="5"/>
      <c r="F27" s="5"/>
      <c r="G27" s="8"/>
      <c r="H27" s="8"/>
      <c r="I27" s="8"/>
      <c r="J27" s="8"/>
      <c r="K27" s="1"/>
      <c r="L27" s="1"/>
      <c r="M27" s="1"/>
      <c r="N27" s="15"/>
      <c r="O27" s="1"/>
      <c r="P27" s="1"/>
      <c r="V27" s="4"/>
      <c r="W27" s="4"/>
    </row>
    <row r="28" spans="1:42" ht="26.1" customHeight="1" x14ac:dyDescent="0.25">
      <c r="A28" s="1"/>
      <c r="B28" s="131" t="s">
        <v>48</v>
      </c>
      <c r="C28" s="131"/>
      <c r="D28" s="131"/>
      <c r="E28" s="131"/>
      <c r="F28" s="38">
        <v>2</v>
      </c>
      <c r="G28" s="8"/>
      <c r="H28" s="8"/>
      <c r="I28" s="8"/>
      <c r="J28" s="134"/>
      <c r="K28" s="134"/>
      <c r="L28" s="134"/>
      <c r="M28" s="134"/>
      <c r="N28" s="134"/>
      <c r="O28" s="134"/>
      <c r="P28" s="134"/>
      <c r="V28" s="99">
        <f>1.5*data!A3</f>
        <v>52500</v>
      </c>
      <c r="W28" s="100">
        <f>V28/8</f>
        <v>6562.5</v>
      </c>
    </row>
    <row r="29" spans="1:42" ht="26.1" customHeight="1" x14ac:dyDescent="0.25">
      <c r="A29" s="1"/>
      <c r="B29" s="131" t="s">
        <v>34</v>
      </c>
      <c r="C29" s="131"/>
      <c r="D29" s="131"/>
      <c r="E29" s="131"/>
      <c r="F29" s="29">
        <f>31*24*F28</f>
        <v>1488</v>
      </c>
      <c r="G29" s="11"/>
      <c r="H29" s="29"/>
      <c r="I29" s="11"/>
      <c r="J29" s="134"/>
      <c r="K29" s="134"/>
      <c r="L29" s="134"/>
      <c r="M29" s="134"/>
      <c r="N29" s="134"/>
      <c r="O29" s="134"/>
      <c r="P29" s="134"/>
      <c r="V29" s="101">
        <f>V28-data!A3</f>
        <v>17500</v>
      </c>
      <c r="W29" s="100">
        <f>V29/8</f>
        <v>2187.5</v>
      </c>
    </row>
    <row r="30" spans="1:42" ht="26.1" customHeight="1" x14ac:dyDescent="0.25">
      <c r="A30" s="1"/>
      <c r="B30" s="131" t="s">
        <v>39</v>
      </c>
      <c r="C30" s="131"/>
      <c r="D30" s="131"/>
      <c r="E30" s="131"/>
      <c r="F30" s="29">
        <v>0</v>
      </c>
      <c r="G30" s="11"/>
      <c r="H30" s="11"/>
      <c r="I30" s="11"/>
      <c r="J30" s="11"/>
      <c r="K30" s="1"/>
      <c r="L30" s="35"/>
      <c r="M30" s="1"/>
      <c r="N30" s="15"/>
      <c r="O30" s="1"/>
      <c r="P30" s="87"/>
      <c r="V30" s="4"/>
      <c r="W30" s="4"/>
    </row>
    <row r="31" spans="1:42" ht="26.1" customHeight="1" x14ac:dyDescent="0.25">
      <c r="A31" s="1"/>
      <c r="B31" s="131" t="s">
        <v>40</v>
      </c>
      <c r="C31" s="131"/>
      <c r="D31" s="131"/>
      <c r="E31" s="131"/>
      <c r="F31" s="28">
        <f>F29-F30</f>
        <v>1488</v>
      </c>
      <c r="G31" s="12"/>
      <c r="H31" s="12"/>
      <c r="I31" s="12"/>
      <c r="J31" s="12"/>
      <c r="V31" s="4"/>
      <c r="W31" s="4"/>
    </row>
    <row r="32" spans="1:42" ht="26.1" customHeight="1" x14ac:dyDescent="0.25">
      <c r="A32" s="1"/>
      <c r="B32" s="130" t="s">
        <v>41</v>
      </c>
      <c r="C32" s="130"/>
      <c r="D32" s="130"/>
      <c r="E32" s="130"/>
      <c r="F32" s="30">
        <f>P19</f>
        <v>1728</v>
      </c>
      <c r="G32" s="12"/>
      <c r="H32" s="12"/>
      <c r="I32" s="12"/>
      <c r="J32" s="12"/>
      <c r="V32" s="9"/>
      <c r="W32" s="9"/>
    </row>
    <row r="33" spans="1:23" ht="26.1" customHeight="1" x14ac:dyDescent="0.25">
      <c r="A33" s="1"/>
      <c r="B33" s="130" t="s">
        <v>70</v>
      </c>
      <c r="C33" s="130"/>
      <c r="D33" s="130"/>
      <c r="E33" s="130"/>
      <c r="F33" s="71">
        <f>-(F31-F32)</f>
        <v>240</v>
      </c>
      <c r="G33" s="11"/>
      <c r="H33" s="11"/>
      <c r="I33" s="11"/>
      <c r="J33" s="12"/>
      <c r="V33" s="3"/>
      <c r="W33" s="5"/>
    </row>
    <row r="34" spans="1:23" ht="26.1" customHeight="1" x14ac:dyDescent="0.25">
      <c r="P34" s="40"/>
      <c r="W34" s="72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>
      <c r="Q43">
        <v>288</v>
      </c>
    </row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43" t="s">
        <v>1</v>
      </c>
      <c r="C4" s="43" t="s">
        <v>2</v>
      </c>
      <c r="D4" s="44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 t="s">
        <v>11</v>
      </c>
      <c r="M4" s="43" t="s">
        <v>12</v>
      </c>
      <c r="N4" s="43" t="s">
        <v>13</v>
      </c>
      <c r="O4" s="43" t="s">
        <v>14</v>
      </c>
      <c r="P4" s="43" t="s">
        <v>15</v>
      </c>
      <c r="Q4" s="43" t="s">
        <v>16</v>
      </c>
      <c r="R4" s="43" t="s">
        <v>55</v>
      </c>
      <c r="S4" s="43" t="s">
        <v>56</v>
      </c>
      <c r="T4" s="43" t="s">
        <v>4</v>
      </c>
      <c r="U4" s="43" t="s">
        <v>5</v>
      </c>
      <c r="V4" s="43" t="s">
        <v>6</v>
      </c>
      <c r="W4" s="43" t="s">
        <v>17</v>
      </c>
      <c r="X4" s="43" t="s">
        <v>18</v>
      </c>
      <c r="Y4" s="43" t="s">
        <v>19</v>
      </c>
      <c r="Z4" s="43" t="s">
        <v>20</v>
      </c>
      <c r="AA4" s="43" t="s">
        <v>21</v>
      </c>
    </row>
    <row r="5" spans="2:27" x14ac:dyDescent="0.25">
      <c r="B5" s="45">
        <v>1</v>
      </c>
      <c r="C5" s="46" t="s">
        <v>22</v>
      </c>
      <c r="D5" s="47" t="s">
        <v>3</v>
      </c>
      <c r="E5" s="45" t="s">
        <v>51</v>
      </c>
      <c r="F5" s="48"/>
      <c r="G5" s="45">
        <v>1</v>
      </c>
      <c r="H5" s="45"/>
      <c r="I5" s="49" t="s">
        <v>50</v>
      </c>
      <c r="J5" s="45"/>
      <c r="K5" s="45"/>
      <c r="L5" s="50">
        <v>32</v>
      </c>
      <c r="M5" s="50">
        <v>10</v>
      </c>
      <c r="N5" s="50">
        <v>152</v>
      </c>
      <c r="O5" s="50">
        <v>0</v>
      </c>
      <c r="P5" s="50">
        <v>194</v>
      </c>
      <c r="Q5" s="50">
        <v>766267.02508960571</v>
      </c>
      <c r="R5" s="50">
        <f>Q5/P5</f>
        <v>3949.8300262350808</v>
      </c>
      <c r="S5" s="50">
        <f>R5*8</f>
        <v>31598.640209880647</v>
      </c>
      <c r="T5" s="50">
        <v>0</v>
      </c>
      <c r="U5" s="50">
        <v>24250</v>
      </c>
      <c r="V5" s="50">
        <v>50000</v>
      </c>
      <c r="W5" s="50">
        <v>0</v>
      </c>
      <c r="X5" s="50">
        <v>0</v>
      </c>
      <c r="Y5" s="50">
        <v>0</v>
      </c>
      <c r="Z5" s="50">
        <v>2000</v>
      </c>
      <c r="AA5" s="50">
        <v>843000</v>
      </c>
    </row>
    <row r="6" spans="2:27" x14ac:dyDescent="0.25">
      <c r="B6" s="51">
        <v>2</v>
      </c>
      <c r="C6" s="52" t="s">
        <v>49</v>
      </c>
      <c r="D6" s="53" t="s">
        <v>25</v>
      </c>
      <c r="E6" s="54" t="s">
        <v>52</v>
      </c>
      <c r="F6" s="53"/>
      <c r="G6" s="54"/>
      <c r="H6" s="54"/>
      <c r="I6" s="54" t="s">
        <v>50</v>
      </c>
      <c r="J6" s="51"/>
      <c r="K6" s="54"/>
      <c r="L6" s="55">
        <v>16</v>
      </c>
      <c r="M6" s="55">
        <v>59</v>
      </c>
      <c r="N6" s="55">
        <v>40</v>
      </c>
      <c r="O6" s="56">
        <v>0</v>
      </c>
      <c r="P6" s="55">
        <v>115</v>
      </c>
      <c r="Q6" s="50">
        <v>453859.31899641576</v>
      </c>
      <c r="R6" s="50">
        <f t="shared" ref="R6:R17" si="0">Q6/P6</f>
        <v>3946.6027738818761</v>
      </c>
      <c r="S6" s="50">
        <f t="shared" ref="S6:S17" si="1">R6*8</f>
        <v>31572.822191055009</v>
      </c>
      <c r="T6" s="55">
        <v>0</v>
      </c>
      <c r="U6" s="50">
        <v>14375</v>
      </c>
      <c r="V6" s="55">
        <v>0</v>
      </c>
      <c r="W6" s="55">
        <v>0</v>
      </c>
      <c r="X6" s="55">
        <v>0</v>
      </c>
      <c r="Y6" s="55">
        <v>90000</v>
      </c>
      <c r="Z6" s="55">
        <v>0</v>
      </c>
      <c r="AA6" s="55">
        <v>558500</v>
      </c>
    </row>
    <row r="7" spans="2:27" x14ac:dyDescent="0.25">
      <c r="B7" s="45">
        <v>3</v>
      </c>
      <c r="C7" s="48" t="s">
        <v>24</v>
      </c>
      <c r="D7" s="47" t="s">
        <v>3</v>
      </c>
      <c r="E7" s="49"/>
      <c r="F7" s="47"/>
      <c r="G7" s="49">
        <v>2</v>
      </c>
      <c r="H7" s="49" t="s">
        <v>23</v>
      </c>
      <c r="I7" s="57" t="s">
        <v>53</v>
      </c>
      <c r="J7" s="45"/>
      <c r="K7" s="49" t="s">
        <v>23</v>
      </c>
      <c r="L7" s="58">
        <v>202</v>
      </c>
      <c r="M7" s="58">
        <v>6</v>
      </c>
      <c r="N7" s="58">
        <v>8</v>
      </c>
      <c r="O7" s="58">
        <v>0</v>
      </c>
      <c r="P7" s="50">
        <v>216</v>
      </c>
      <c r="Q7" s="50">
        <v>873959.67741935479</v>
      </c>
      <c r="R7" s="50">
        <f t="shared" si="0"/>
        <v>4046.1096176821979</v>
      </c>
      <c r="S7" s="50">
        <f t="shared" si="1"/>
        <v>32368.876941457584</v>
      </c>
      <c r="T7" s="50">
        <v>100000</v>
      </c>
      <c r="U7" s="50">
        <v>27000</v>
      </c>
      <c r="V7" s="50">
        <v>100000</v>
      </c>
      <c r="W7" s="50">
        <v>81000</v>
      </c>
      <c r="X7" s="50">
        <v>0</v>
      </c>
      <c r="Y7" s="50">
        <v>50000</v>
      </c>
      <c r="Z7" s="50">
        <v>1500</v>
      </c>
      <c r="AA7" s="50">
        <v>1233500</v>
      </c>
    </row>
    <row r="8" spans="2:27" x14ac:dyDescent="0.25">
      <c r="B8" s="45">
        <v>4</v>
      </c>
      <c r="C8" s="47" t="s">
        <v>54</v>
      </c>
      <c r="D8" s="47" t="s">
        <v>25</v>
      </c>
      <c r="E8" s="45" t="s">
        <v>51</v>
      </c>
      <c r="F8" s="47"/>
      <c r="G8" s="49"/>
      <c r="H8" s="49"/>
      <c r="I8" s="49"/>
      <c r="J8" s="45"/>
      <c r="K8" s="49"/>
      <c r="L8" s="58">
        <v>0</v>
      </c>
      <c r="M8" s="58">
        <v>136</v>
      </c>
      <c r="N8" s="58">
        <v>72</v>
      </c>
      <c r="O8" s="58">
        <v>0</v>
      </c>
      <c r="P8" s="50">
        <v>208</v>
      </c>
      <c r="Q8" s="50">
        <v>817275.98566308245</v>
      </c>
      <c r="R8" s="50">
        <f t="shared" si="0"/>
        <v>3929.2114695340501</v>
      </c>
      <c r="S8" s="50">
        <f t="shared" si="1"/>
        <v>31433.691756272401</v>
      </c>
      <c r="T8" s="50">
        <v>0</v>
      </c>
      <c r="U8" s="50">
        <v>26000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843500</v>
      </c>
    </row>
    <row r="9" spans="2:27" x14ac:dyDescent="0.25">
      <c r="B9" s="59">
        <v>5</v>
      </c>
      <c r="C9" s="60" t="s">
        <v>26</v>
      </c>
      <c r="D9" s="60" t="s">
        <v>3</v>
      </c>
      <c r="E9" s="59"/>
      <c r="F9" s="60"/>
      <c r="G9" s="61">
        <v>1</v>
      </c>
      <c r="H9" s="61" t="s">
        <v>23</v>
      </c>
      <c r="I9" s="61" t="s">
        <v>53</v>
      </c>
      <c r="J9" s="59"/>
      <c r="K9" s="61" t="s">
        <v>23</v>
      </c>
      <c r="L9" s="62">
        <v>4</v>
      </c>
      <c r="M9" s="62">
        <v>0</v>
      </c>
      <c r="N9" s="62">
        <v>109</v>
      </c>
      <c r="O9" s="62">
        <v>0</v>
      </c>
      <c r="P9" s="63">
        <v>113</v>
      </c>
      <c r="Q9" s="50">
        <v>444500.89605734765</v>
      </c>
      <c r="R9" s="50">
        <f t="shared" si="0"/>
        <v>3933.6362482951117</v>
      </c>
      <c r="S9" s="50">
        <f t="shared" si="1"/>
        <v>31469.089986360894</v>
      </c>
      <c r="T9" s="63">
        <v>100000</v>
      </c>
      <c r="U9" s="50">
        <v>14125</v>
      </c>
      <c r="V9" s="63">
        <v>50000</v>
      </c>
      <c r="W9" s="63">
        <v>42375</v>
      </c>
      <c r="X9" s="63">
        <v>0</v>
      </c>
      <c r="Y9" s="63">
        <v>50000</v>
      </c>
      <c r="Z9" s="63">
        <v>841000</v>
      </c>
      <c r="AA9" s="63">
        <v>1542500</v>
      </c>
    </row>
    <row r="10" spans="2:27" x14ac:dyDescent="0.25">
      <c r="B10" s="59">
        <v>6</v>
      </c>
      <c r="C10" s="64" t="s">
        <v>27</v>
      </c>
      <c r="D10" s="60" t="s">
        <v>3</v>
      </c>
      <c r="E10" s="61"/>
      <c r="F10" s="60"/>
      <c r="G10" s="61">
        <v>4</v>
      </c>
      <c r="H10" s="61" t="s">
        <v>23</v>
      </c>
      <c r="I10" s="61" t="s">
        <v>53</v>
      </c>
      <c r="J10" s="59"/>
      <c r="K10" s="61" t="s">
        <v>23</v>
      </c>
      <c r="L10" s="62">
        <v>0</v>
      </c>
      <c r="M10" s="62">
        <v>84</v>
      </c>
      <c r="N10" s="62">
        <v>2</v>
      </c>
      <c r="O10" s="62">
        <v>0</v>
      </c>
      <c r="P10" s="63">
        <v>86</v>
      </c>
      <c r="Q10" s="50">
        <v>337912.18637992832</v>
      </c>
      <c r="R10" s="50">
        <f t="shared" si="0"/>
        <v>3929.2114695340501</v>
      </c>
      <c r="S10" s="50">
        <f t="shared" si="1"/>
        <v>31433.691756272401</v>
      </c>
      <c r="T10" s="63">
        <v>50000</v>
      </c>
      <c r="U10" s="50">
        <v>10750</v>
      </c>
      <c r="V10" s="63">
        <v>200000</v>
      </c>
      <c r="W10" s="63">
        <v>32250</v>
      </c>
      <c r="X10" s="63">
        <v>0</v>
      </c>
      <c r="Y10" s="63">
        <v>50000</v>
      </c>
      <c r="Z10" s="63">
        <v>847000</v>
      </c>
      <c r="AA10" s="63">
        <v>1528000</v>
      </c>
    </row>
    <row r="11" spans="2:27" x14ac:dyDescent="0.25">
      <c r="B11" s="59">
        <v>7</v>
      </c>
      <c r="C11" s="64" t="s">
        <v>28</v>
      </c>
      <c r="D11" s="60" t="s">
        <v>3</v>
      </c>
      <c r="E11" s="59" t="s">
        <v>52</v>
      </c>
      <c r="F11" s="61"/>
      <c r="G11" s="61">
        <v>1</v>
      </c>
      <c r="H11" s="61"/>
      <c r="I11" s="61" t="s">
        <v>50</v>
      </c>
      <c r="J11" s="59"/>
      <c r="K11" s="61"/>
      <c r="L11" s="62">
        <v>0</v>
      </c>
      <c r="M11" s="62">
        <v>134</v>
      </c>
      <c r="N11" s="62">
        <v>11</v>
      </c>
      <c r="O11" s="62">
        <v>0</v>
      </c>
      <c r="P11" s="63">
        <v>145</v>
      </c>
      <c r="Q11" s="63">
        <v>569735.66308243724</v>
      </c>
      <c r="R11" s="50">
        <f t="shared" si="0"/>
        <v>3929.2114695340501</v>
      </c>
      <c r="S11" s="50">
        <f t="shared" si="1"/>
        <v>31433.691756272401</v>
      </c>
      <c r="T11" s="63">
        <v>0</v>
      </c>
      <c r="U11" s="63">
        <v>18125</v>
      </c>
      <c r="V11" s="63">
        <v>50000</v>
      </c>
      <c r="W11" s="63">
        <v>0</v>
      </c>
      <c r="X11" s="63">
        <v>0</v>
      </c>
      <c r="Y11" s="63">
        <v>0</v>
      </c>
      <c r="Z11" s="63">
        <v>196000</v>
      </c>
      <c r="AA11" s="63">
        <v>834000</v>
      </c>
    </row>
    <row r="12" spans="2:27" x14ac:dyDescent="0.25">
      <c r="B12" s="59">
        <v>8</v>
      </c>
      <c r="C12" s="64" t="s">
        <v>29</v>
      </c>
      <c r="D12" s="60" t="s">
        <v>3</v>
      </c>
      <c r="E12" s="59"/>
      <c r="F12" s="60"/>
      <c r="G12" s="61">
        <v>1</v>
      </c>
      <c r="H12" s="61" t="s">
        <v>23</v>
      </c>
      <c r="I12" s="61"/>
      <c r="J12" s="59"/>
      <c r="K12" s="61"/>
      <c r="L12" s="62">
        <v>41</v>
      </c>
      <c r="M12" s="62">
        <v>8</v>
      </c>
      <c r="N12" s="62">
        <v>135</v>
      </c>
      <c r="O12" s="62">
        <v>0</v>
      </c>
      <c r="P12" s="63">
        <v>184</v>
      </c>
      <c r="Q12" s="63">
        <v>728099.9103942652</v>
      </c>
      <c r="R12" s="50">
        <f t="shared" si="0"/>
        <v>3957.0647304036152</v>
      </c>
      <c r="S12" s="50">
        <f t="shared" si="1"/>
        <v>31656.517843228921</v>
      </c>
      <c r="T12" s="63">
        <v>100000</v>
      </c>
      <c r="U12" s="63">
        <v>23000</v>
      </c>
      <c r="V12" s="63">
        <v>50000</v>
      </c>
      <c r="W12" s="63">
        <v>46000</v>
      </c>
      <c r="X12" s="63">
        <v>0</v>
      </c>
      <c r="Y12" s="63">
        <v>0</v>
      </c>
      <c r="Z12" s="63">
        <v>122500</v>
      </c>
      <c r="AA12" s="63">
        <v>1070000</v>
      </c>
    </row>
    <row r="13" spans="2:27" x14ac:dyDescent="0.25">
      <c r="B13" s="45">
        <v>9</v>
      </c>
      <c r="C13" s="48" t="s">
        <v>30</v>
      </c>
      <c r="D13" s="47" t="s">
        <v>3</v>
      </c>
      <c r="E13" s="45"/>
      <c r="F13" s="47"/>
      <c r="G13" s="49">
        <v>1</v>
      </c>
      <c r="H13" s="49"/>
      <c r="I13" s="49" t="s">
        <v>53</v>
      </c>
      <c r="J13" s="45"/>
      <c r="K13" s="49"/>
      <c r="L13" s="58">
        <v>0</v>
      </c>
      <c r="M13" s="58">
        <v>216</v>
      </c>
      <c r="N13" s="58">
        <v>14</v>
      </c>
      <c r="O13" s="58">
        <v>0</v>
      </c>
      <c r="P13" s="50">
        <v>230</v>
      </c>
      <c r="Q13" s="50">
        <v>903718.63799283153</v>
      </c>
      <c r="R13" s="50">
        <f t="shared" si="0"/>
        <v>3929.2114695340501</v>
      </c>
      <c r="S13" s="50">
        <f t="shared" si="1"/>
        <v>31433.691756272401</v>
      </c>
      <c r="T13" s="50">
        <v>50000</v>
      </c>
      <c r="U13" s="50">
        <v>28750</v>
      </c>
      <c r="V13" s="50">
        <v>50000</v>
      </c>
      <c r="W13" s="50">
        <v>86250</v>
      </c>
      <c r="X13" s="50">
        <v>0</v>
      </c>
      <c r="Y13" s="50">
        <v>0</v>
      </c>
      <c r="Z13" s="50">
        <v>3000</v>
      </c>
      <c r="AA13" s="50">
        <v>1122000</v>
      </c>
    </row>
    <row r="14" spans="2:27" x14ac:dyDescent="0.25">
      <c r="B14" s="45">
        <v>10</v>
      </c>
      <c r="C14" s="48" t="s">
        <v>31</v>
      </c>
      <c r="D14" s="47" t="s">
        <v>3</v>
      </c>
      <c r="E14" s="49"/>
      <c r="F14" s="47"/>
      <c r="G14" s="49">
        <v>1</v>
      </c>
      <c r="H14" s="49"/>
      <c r="I14" s="49" t="s">
        <v>53</v>
      </c>
      <c r="J14" s="45"/>
      <c r="K14" s="49" t="s">
        <v>23</v>
      </c>
      <c r="L14" s="58">
        <v>232</v>
      </c>
      <c r="M14" s="58">
        <v>22</v>
      </c>
      <c r="N14" s="58">
        <v>0</v>
      </c>
      <c r="O14" s="58">
        <v>0</v>
      </c>
      <c r="P14" s="50">
        <v>254</v>
      </c>
      <c r="Q14" s="50">
        <v>1027019.7132616488</v>
      </c>
      <c r="R14" s="50">
        <f t="shared" si="0"/>
        <v>4043.3846978805068</v>
      </c>
      <c r="S14" s="50">
        <f t="shared" si="1"/>
        <v>32347.077583044054</v>
      </c>
      <c r="T14" s="50">
        <v>50000</v>
      </c>
      <c r="U14" s="50">
        <v>31750</v>
      </c>
      <c r="V14" s="50">
        <v>50000</v>
      </c>
      <c r="W14" s="50">
        <v>95250</v>
      </c>
      <c r="X14" s="50">
        <v>0</v>
      </c>
      <c r="Y14" s="50">
        <v>50000</v>
      </c>
      <c r="Z14" s="50">
        <v>0</v>
      </c>
      <c r="AA14" s="50">
        <v>1304500</v>
      </c>
    </row>
    <row r="15" spans="2:27" x14ac:dyDescent="0.25">
      <c r="B15" s="45">
        <v>11</v>
      </c>
      <c r="C15" s="48" t="s">
        <v>32</v>
      </c>
      <c r="D15" s="47" t="s">
        <v>3</v>
      </c>
      <c r="E15" s="45" t="s">
        <v>52</v>
      </c>
      <c r="F15" s="47"/>
      <c r="G15" s="49">
        <v>1</v>
      </c>
      <c r="H15" s="49"/>
      <c r="I15" s="49"/>
      <c r="J15" s="45"/>
      <c r="K15" s="49"/>
      <c r="L15" s="58">
        <v>205</v>
      </c>
      <c r="M15" s="58">
        <v>4</v>
      </c>
      <c r="N15" s="58">
        <v>1</v>
      </c>
      <c r="O15" s="58">
        <v>0</v>
      </c>
      <c r="P15" s="50">
        <v>210</v>
      </c>
      <c r="Q15" s="50">
        <v>850759.40860215051</v>
      </c>
      <c r="R15" s="50">
        <f t="shared" si="0"/>
        <v>4051.2352790578598</v>
      </c>
      <c r="S15" s="50">
        <f t="shared" si="1"/>
        <v>32409.882232462878</v>
      </c>
      <c r="T15" s="50">
        <v>0</v>
      </c>
      <c r="U15" s="50">
        <v>26250</v>
      </c>
      <c r="V15" s="50">
        <v>50000</v>
      </c>
      <c r="W15" s="50">
        <v>52500</v>
      </c>
      <c r="X15" s="50">
        <v>0</v>
      </c>
      <c r="Y15" s="50">
        <v>0</v>
      </c>
      <c r="Z15" s="50">
        <v>3000</v>
      </c>
      <c r="AA15" s="50">
        <v>983000</v>
      </c>
    </row>
    <row r="16" spans="2:27" x14ac:dyDescent="0.25">
      <c r="B16" s="45">
        <v>12</v>
      </c>
      <c r="C16" s="48" t="s">
        <v>35</v>
      </c>
      <c r="D16" s="47" t="s">
        <v>25</v>
      </c>
      <c r="E16" s="45" t="s">
        <v>52</v>
      </c>
      <c r="F16" s="65"/>
      <c r="G16" s="65"/>
      <c r="H16" s="65"/>
      <c r="I16" s="49"/>
      <c r="J16" s="65"/>
      <c r="K16" s="65"/>
      <c r="L16" s="58">
        <v>4</v>
      </c>
      <c r="M16" s="58">
        <v>32</v>
      </c>
      <c r="N16" s="58">
        <v>170</v>
      </c>
      <c r="O16" s="58">
        <v>0</v>
      </c>
      <c r="P16" s="50">
        <v>206</v>
      </c>
      <c r="Q16" s="50">
        <v>809917.56272401428</v>
      </c>
      <c r="R16" s="50">
        <f t="shared" si="0"/>
        <v>3931.6386540000694</v>
      </c>
      <c r="S16" s="50">
        <f t="shared" si="1"/>
        <v>31453.109232000555</v>
      </c>
      <c r="T16" s="50">
        <v>0</v>
      </c>
      <c r="U16" s="50">
        <v>25750</v>
      </c>
      <c r="V16" s="50">
        <v>0</v>
      </c>
      <c r="W16" s="50">
        <v>0</v>
      </c>
      <c r="X16" s="50">
        <v>0</v>
      </c>
      <c r="Y16" s="50">
        <v>0</v>
      </c>
      <c r="Z16" s="50">
        <v>1000</v>
      </c>
      <c r="AA16" s="50">
        <v>837000</v>
      </c>
    </row>
    <row r="17" spans="2:27" x14ac:dyDescent="0.25">
      <c r="B17" s="45">
        <v>13</v>
      </c>
      <c r="C17" s="48" t="s">
        <v>36</v>
      </c>
      <c r="D17" s="47" t="s">
        <v>25</v>
      </c>
      <c r="E17" s="45" t="s">
        <v>52</v>
      </c>
      <c r="F17" s="65"/>
      <c r="G17" s="65"/>
      <c r="H17" s="65"/>
      <c r="I17" s="49" t="s">
        <v>50</v>
      </c>
      <c r="J17" s="65"/>
      <c r="K17" s="65"/>
      <c r="L17" s="58">
        <v>8</v>
      </c>
      <c r="M17" s="58">
        <v>33</v>
      </c>
      <c r="N17" s="58">
        <v>30</v>
      </c>
      <c r="O17" s="58">
        <v>0</v>
      </c>
      <c r="P17" s="50">
        <v>71</v>
      </c>
      <c r="Q17" s="50">
        <v>279974.01433691755</v>
      </c>
      <c r="R17" s="50">
        <f t="shared" si="0"/>
        <v>3943.2959765763035</v>
      </c>
      <c r="S17" s="50">
        <f t="shared" si="1"/>
        <v>31546.367812610428</v>
      </c>
      <c r="T17" s="50">
        <v>0</v>
      </c>
      <c r="U17" s="50">
        <v>8875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289000</v>
      </c>
    </row>
    <row r="18" spans="2:27" x14ac:dyDescent="0.25">
      <c r="B18" s="43"/>
      <c r="C18" s="66"/>
      <c r="D18" s="66"/>
      <c r="E18" s="43"/>
      <c r="F18" s="66"/>
      <c r="G18" s="44"/>
      <c r="H18" s="44"/>
      <c r="I18" s="44"/>
      <c r="J18" s="43"/>
      <c r="K18" s="44"/>
      <c r="L18" s="67">
        <v>744</v>
      </c>
      <c r="M18" s="67">
        <v>744</v>
      </c>
      <c r="N18" s="67">
        <v>744</v>
      </c>
      <c r="O18" s="67">
        <v>0</v>
      </c>
      <c r="P18" s="67">
        <v>2232</v>
      </c>
      <c r="Q18" s="67">
        <v>8863000</v>
      </c>
      <c r="R18" s="67"/>
      <c r="S18" s="67"/>
      <c r="T18" s="67">
        <v>450000</v>
      </c>
      <c r="U18" s="67">
        <v>279000</v>
      </c>
      <c r="V18" s="67">
        <v>650000</v>
      </c>
      <c r="W18" s="67">
        <v>435625</v>
      </c>
      <c r="X18" s="67">
        <v>0</v>
      </c>
      <c r="Y18" s="67">
        <v>290000</v>
      </c>
      <c r="Z18" s="67">
        <v>2017000</v>
      </c>
      <c r="AA18" s="67">
        <v>12988500</v>
      </c>
    </row>
    <row r="21" spans="2:27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68" t="s">
        <v>60</v>
      </c>
      <c r="L21" s="68" t="s">
        <v>61</v>
      </c>
      <c r="M21" s="68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2:27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>
        <v>32000</v>
      </c>
      <c r="L22" s="39">
        <v>31000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2:27" ht="33.75" x14ac:dyDescent="0.25">
      <c r="B23" s="43" t="s">
        <v>1</v>
      </c>
      <c r="C23" s="43" t="s">
        <v>2</v>
      </c>
      <c r="D23" s="44" t="s">
        <v>3</v>
      </c>
      <c r="E23" s="43" t="s">
        <v>52</v>
      </c>
      <c r="F23" s="43" t="s">
        <v>57</v>
      </c>
      <c r="G23" s="43" t="s">
        <v>58</v>
      </c>
      <c r="H23" s="43" t="s">
        <v>7</v>
      </c>
      <c r="I23" s="43" t="s">
        <v>8</v>
      </c>
      <c r="J23" s="43" t="s">
        <v>9</v>
      </c>
      <c r="K23" s="43" t="s">
        <v>10</v>
      </c>
      <c r="L23" s="43" t="s">
        <v>11</v>
      </c>
      <c r="M23" s="43" t="s">
        <v>62</v>
      </c>
      <c r="N23" s="43" t="s">
        <v>12</v>
      </c>
      <c r="O23" s="43"/>
      <c r="P23" s="43" t="s">
        <v>13</v>
      </c>
      <c r="Q23" s="43"/>
      <c r="R23" s="43" t="s">
        <v>14</v>
      </c>
      <c r="S23" s="43" t="s">
        <v>15</v>
      </c>
      <c r="T23" s="43" t="s">
        <v>16</v>
      </c>
      <c r="U23" s="43" t="s">
        <v>55</v>
      </c>
      <c r="V23" s="43" t="s">
        <v>56</v>
      </c>
      <c r="W23" s="43" t="s">
        <v>4</v>
      </c>
      <c r="X23" s="43" t="s">
        <v>5</v>
      </c>
      <c r="Y23" s="43" t="s">
        <v>6</v>
      </c>
    </row>
    <row r="24" spans="2:27" x14ac:dyDescent="0.25">
      <c r="B24" s="45">
        <v>1</v>
      </c>
      <c r="C24" s="46" t="s">
        <v>22</v>
      </c>
      <c r="D24" s="69" t="s">
        <v>3</v>
      </c>
      <c r="E24" s="42">
        <v>4</v>
      </c>
      <c r="F24" s="42">
        <v>4</v>
      </c>
      <c r="G24" s="42">
        <v>2</v>
      </c>
      <c r="H24" s="69" t="s">
        <v>59</v>
      </c>
      <c r="I24" s="42"/>
      <c r="J24" s="42"/>
      <c r="K24" s="42"/>
      <c r="L24" s="42">
        <v>32</v>
      </c>
      <c r="M24" s="42">
        <f>$K$22/8*L24</f>
        <v>128000</v>
      </c>
      <c r="N24" s="42">
        <v>10</v>
      </c>
      <c r="O24" s="42">
        <f>$L$22/8*N24</f>
        <v>38750</v>
      </c>
      <c r="P24" s="42">
        <v>152</v>
      </c>
      <c r="Q24" s="42">
        <f>$L$22/8*P24</f>
        <v>589000</v>
      </c>
      <c r="R24" s="42"/>
      <c r="S24" s="42">
        <f>L24+N24+P24</f>
        <v>194</v>
      </c>
      <c r="T24" s="42">
        <f>M24+O24+Q24</f>
        <v>755750</v>
      </c>
      <c r="U24" s="42"/>
      <c r="V24" s="42"/>
      <c r="W24" s="42"/>
      <c r="X24" s="42"/>
      <c r="Y24" s="42"/>
    </row>
    <row r="25" spans="2:27" x14ac:dyDescent="0.25">
      <c r="B25" s="51">
        <v>2</v>
      </c>
      <c r="C25" s="52" t="s">
        <v>49</v>
      </c>
      <c r="D25" s="42"/>
      <c r="E25" s="42"/>
      <c r="F25" s="42"/>
      <c r="G25" s="42"/>
      <c r="H25" s="42"/>
      <c r="I25" s="42"/>
      <c r="J25" s="42"/>
      <c r="K25" s="42"/>
      <c r="L25" s="55">
        <v>16</v>
      </c>
      <c r="M25" s="42">
        <f t="shared" ref="M25:M36" si="2">$K$22/8*L25</f>
        <v>64000</v>
      </c>
      <c r="N25" s="55">
        <v>59</v>
      </c>
      <c r="O25" s="42">
        <f t="shared" ref="O25:O36" si="3">$L$22/8*N25</f>
        <v>228625</v>
      </c>
      <c r="P25" s="55">
        <v>40</v>
      </c>
      <c r="Q25" s="42">
        <f t="shared" ref="Q25:Q36" si="4">$L$22/8*P25</f>
        <v>155000</v>
      </c>
      <c r="R25" s="42"/>
      <c r="S25" s="42">
        <f t="shared" ref="S25:S36" si="5">L25+N25+P25</f>
        <v>115</v>
      </c>
      <c r="T25" s="42">
        <f t="shared" ref="T25:T36" si="6">M25+O25+Q25</f>
        <v>447625</v>
      </c>
      <c r="U25" s="42"/>
      <c r="V25" s="42"/>
      <c r="W25" s="42"/>
      <c r="X25" s="42"/>
      <c r="Y25" s="42"/>
    </row>
    <row r="26" spans="2:27" x14ac:dyDescent="0.25">
      <c r="B26" s="45">
        <v>3</v>
      </c>
      <c r="C26" s="48" t="s">
        <v>24</v>
      </c>
      <c r="D26" s="42"/>
      <c r="E26" s="42"/>
      <c r="F26" s="42"/>
      <c r="G26" s="42"/>
      <c r="H26" s="42"/>
      <c r="I26" s="42"/>
      <c r="J26" s="42"/>
      <c r="K26" s="42"/>
      <c r="L26" s="58">
        <v>202</v>
      </c>
      <c r="M26" s="42">
        <f t="shared" si="2"/>
        <v>808000</v>
      </c>
      <c r="N26" s="58">
        <v>6</v>
      </c>
      <c r="O26" s="42">
        <f t="shared" si="3"/>
        <v>23250</v>
      </c>
      <c r="P26" s="58">
        <v>8</v>
      </c>
      <c r="Q26" s="42">
        <f t="shared" si="4"/>
        <v>31000</v>
      </c>
      <c r="R26" s="42"/>
      <c r="S26" s="42">
        <f t="shared" si="5"/>
        <v>216</v>
      </c>
      <c r="T26" s="42">
        <f t="shared" si="6"/>
        <v>862250</v>
      </c>
      <c r="U26" s="42"/>
      <c r="V26" s="42"/>
      <c r="W26" s="42"/>
      <c r="X26" s="42"/>
      <c r="Y26" s="42"/>
    </row>
    <row r="27" spans="2:27" x14ac:dyDescent="0.25">
      <c r="B27" s="45">
        <v>4</v>
      </c>
      <c r="C27" s="47" t="s">
        <v>54</v>
      </c>
      <c r="D27" s="42"/>
      <c r="E27" s="42"/>
      <c r="F27" s="42"/>
      <c r="G27" s="42"/>
      <c r="H27" s="42"/>
      <c r="I27" s="42"/>
      <c r="J27" s="42"/>
      <c r="K27" s="42"/>
      <c r="L27" s="58">
        <v>0</v>
      </c>
      <c r="M27" s="42">
        <f t="shared" si="2"/>
        <v>0</v>
      </c>
      <c r="N27" s="58">
        <v>136</v>
      </c>
      <c r="O27" s="42">
        <f t="shared" si="3"/>
        <v>527000</v>
      </c>
      <c r="P27" s="58">
        <v>72</v>
      </c>
      <c r="Q27" s="42">
        <f t="shared" si="4"/>
        <v>279000</v>
      </c>
      <c r="R27" s="42"/>
      <c r="S27" s="42">
        <f t="shared" si="5"/>
        <v>208</v>
      </c>
      <c r="T27" s="42">
        <f t="shared" si="6"/>
        <v>806000</v>
      </c>
      <c r="U27" s="42"/>
      <c r="V27" s="42"/>
      <c r="W27" s="42"/>
      <c r="X27" s="42"/>
      <c r="Y27" s="42"/>
    </row>
    <row r="28" spans="2:27" x14ac:dyDescent="0.25">
      <c r="B28" s="59">
        <v>5</v>
      </c>
      <c r="C28" s="60" t="s">
        <v>26</v>
      </c>
      <c r="D28" s="42"/>
      <c r="E28" s="42"/>
      <c r="F28" s="42"/>
      <c r="G28" s="42"/>
      <c r="H28" s="42"/>
      <c r="I28" s="42"/>
      <c r="J28" s="42"/>
      <c r="K28" s="42"/>
      <c r="L28" s="62">
        <v>4</v>
      </c>
      <c r="M28" s="42">
        <f t="shared" si="2"/>
        <v>16000</v>
      </c>
      <c r="N28" s="62">
        <v>0</v>
      </c>
      <c r="O28" s="42">
        <f t="shared" si="3"/>
        <v>0</v>
      </c>
      <c r="P28" s="62">
        <v>109</v>
      </c>
      <c r="Q28" s="42">
        <f t="shared" si="4"/>
        <v>422375</v>
      </c>
      <c r="R28" s="42"/>
      <c r="S28" s="42">
        <f t="shared" si="5"/>
        <v>113</v>
      </c>
      <c r="T28" s="42">
        <f t="shared" si="6"/>
        <v>438375</v>
      </c>
      <c r="U28" s="42"/>
      <c r="V28" s="42"/>
      <c r="W28" s="42"/>
      <c r="X28" s="42"/>
      <c r="Y28" s="42"/>
    </row>
    <row r="29" spans="2:27" x14ac:dyDescent="0.25">
      <c r="B29" s="59">
        <v>6</v>
      </c>
      <c r="C29" s="64" t="s">
        <v>27</v>
      </c>
      <c r="D29" s="42"/>
      <c r="E29" s="42"/>
      <c r="F29" s="42"/>
      <c r="G29" s="42"/>
      <c r="H29" s="42"/>
      <c r="I29" s="42"/>
      <c r="J29" s="42"/>
      <c r="K29" s="42"/>
      <c r="L29" s="62">
        <v>0</v>
      </c>
      <c r="M29" s="42">
        <f t="shared" si="2"/>
        <v>0</v>
      </c>
      <c r="N29" s="62">
        <v>84</v>
      </c>
      <c r="O29" s="42">
        <f t="shared" si="3"/>
        <v>325500</v>
      </c>
      <c r="P29" s="62">
        <v>2</v>
      </c>
      <c r="Q29" s="42">
        <f t="shared" si="4"/>
        <v>7750</v>
      </c>
      <c r="R29" s="42"/>
      <c r="S29" s="42">
        <f t="shared" si="5"/>
        <v>86</v>
      </c>
      <c r="T29" s="42">
        <f t="shared" si="6"/>
        <v>333250</v>
      </c>
      <c r="U29" s="42"/>
      <c r="V29" s="42"/>
      <c r="W29" s="42"/>
      <c r="X29" s="42"/>
      <c r="Y29" s="42"/>
    </row>
    <row r="30" spans="2:27" x14ac:dyDescent="0.25">
      <c r="B30" s="59">
        <v>7</v>
      </c>
      <c r="C30" s="64" t="s">
        <v>28</v>
      </c>
      <c r="D30" s="42"/>
      <c r="E30" s="42"/>
      <c r="F30" s="42"/>
      <c r="G30" s="42"/>
      <c r="H30" s="42"/>
      <c r="I30" s="42"/>
      <c r="J30" s="42"/>
      <c r="K30" s="42"/>
      <c r="L30" s="62">
        <v>0</v>
      </c>
      <c r="M30" s="42">
        <f t="shared" si="2"/>
        <v>0</v>
      </c>
      <c r="N30" s="62">
        <v>134</v>
      </c>
      <c r="O30" s="42">
        <f t="shared" si="3"/>
        <v>519250</v>
      </c>
      <c r="P30" s="62">
        <v>11</v>
      </c>
      <c r="Q30" s="42">
        <f t="shared" si="4"/>
        <v>42625</v>
      </c>
      <c r="R30" s="42"/>
      <c r="S30" s="42">
        <f t="shared" si="5"/>
        <v>145</v>
      </c>
      <c r="T30" s="42">
        <f t="shared" si="6"/>
        <v>561875</v>
      </c>
      <c r="U30" s="42"/>
      <c r="V30" s="42"/>
      <c r="W30" s="42"/>
      <c r="X30" s="42"/>
      <c r="Y30" s="42"/>
    </row>
    <row r="31" spans="2:27" x14ac:dyDescent="0.25">
      <c r="B31" s="59">
        <v>8</v>
      </c>
      <c r="C31" s="64" t="s">
        <v>29</v>
      </c>
      <c r="D31" s="42"/>
      <c r="E31" s="42"/>
      <c r="F31" s="42"/>
      <c r="G31" s="42"/>
      <c r="H31" s="42"/>
      <c r="I31" s="42"/>
      <c r="J31" s="42"/>
      <c r="K31" s="42"/>
      <c r="L31" s="62">
        <v>41</v>
      </c>
      <c r="M31" s="42">
        <f t="shared" si="2"/>
        <v>164000</v>
      </c>
      <c r="N31" s="62">
        <v>8</v>
      </c>
      <c r="O31" s="42">
        <f t="shared" si="3"/>
        <v>31000</v>
      </c>
      <c r="P31" s="62">
        <v>135</v>
      </c>
      <c r="Q31" s="42">
        <f t="shared" si="4"/>
        <v>523125</v>
      </c>
      <c r="R31" s="42"/>
      <c r="S31" s="42">
        <f t="shared" si="5"/>
        <v>184</v>
      </c>
      <c r="T31" s="42">
        <f t="shared" si="6"/>
        <v>718125</v>
      </c>
      <c r="U31" s="42"/>
      <c r="V31" s="42"/>
      <c r="W31" s="42"/>
      <c r="X31" s="42"/>
      <c r="Y31" s="42"/>
    </row>
    <row r="32" spans="2:27" x14ac:dyDescent="0.25">
      <c r="B32" s="45">
        <v>9</v>
      </c>
      <c r="C32" s="48" t="s">
        <v>30</v>
      </c>
      <c r="D32" s="42"/>
      <c r="E32" s="42"/>
      <c r="F32" s="42"/>
      <c r="G32" s="42"/>
      <c r="H32" s="42"/>
      <c r="I32" s="42"/>
      <c r="J32" s="42"/>
      <c r="K32" s="42"/>
      <c r="L32" s="58">
        <v>0</v>
      </c>
      <c r="M32" s="42">
        <f t="shared" si="2"/>
        <v>0</v>
      </c>
      <c r="N32" s="58">
        <v>216</v>
      </c>
      <c r="O32" s="42">
        <f t="shared" si="3"/>
        <v>837000</v>
      </c>
      <c r="P32" s="58">
        <v>14</v>
      </c>
      <c r="Q32" s="42">
        <f t="shared" si="4"/>
        <v>54250</v>
      </c>
      <c r="R32" s="42"/>
      <c r="S32" s="42">
        <f t="shared" si="5"/>
        <v>230</v>
      </c>
      <c r="T32" s="42">
        <f t="shared" si="6"/>
        <v>891250</v>
      </c>
      <c r="U32" s="42"/>
      <c r="V32" s="42"/>
      <c r="W32" s="42"/>
      <c r="X32" s="42"/>
      <c r="Y32" s="42"/>
    </row>
    <row r="33" spans="2:25" x14ac:dyDescent="0.25">
      <c r="B33" s="45">
        <v>10</v>
      </c>
      <c r="C33" s="48" t="s">
        <v>31</v>
      </c>
      <c r="D33" s="42"/>
      <c r="E33" s="42"/>
      <c r="F33" s="42"/>
      <c r="G33" s="42"/>
      <c r="H33" s="42"/>
      <c r="I33" s="42"/>
      <c r="J33" s="42"/>
      <c r="K33" s="42"/>
      <c r="L33" s="58">
        <v>232</v>
      </c>
      <c r="M33" s="42">
        <f t="shared" si="2"/>
        <v>928000</v>
      </c>
      <c r="N33" s="58">
        <v>22</v>
      </c>
      <c r="O33" s="42">
        <f t="shared" si="3"/>
        <v>85250</v>
      </c>
      <c r="P33" s="58">
        <v>0</v>
      </c>
      <c r="Q33" s="42">
        <f t="shared" si="4"/>
        <v>0</v>
      </c>
      <c r="R33" s="42"/>
      <c r="S33" s="42">
        <f t="shared" si="5"/>
        <v>254</v>
      </c>
      <c r="T33" s="42">
        <f t="shared" si="6"/>
        <v>1013250</v>
      </c>
      <c r="U33" s="42"/>
      <c r="V33" s="42"/>
      <c r="W33" s="42"/>
      <c r="X33" s="42"/>
      <c r="Y33" s="42"/>
    </row>
    <row r="34" spans="2:25" x14ac:dyDescent="0.25">
      <c r="B34" s="45">
        <v>11</v>
      </c>
      <c r="C34" s="48" t="s">
        <v>32</v>
      </c>
      <c r="D34" s="42"/>
      <c r="E34" s="42"/>
      <c r="F34" s="42"/>
      <c r="G34" s="42"/>
      <c r="H34" s="42"/>
      <c r="I34" s="42"/>
      <c r="J34" s="42"/>
      <c r="K34" s="42"/>
      <c r="L34" s="58">
        <v>205</v>
      </c>
      <c r="M34" s="42">
        <f t="shared" si="2"/>
        <v>820000</v>
      </c>
      <c r="N34" s="58">
        <v>4</v>
      </c>
      <c r="O34" s="42">
        <f t="shared" si="3"/>
        <v>15500</v>
      </c>
      <c r="P34" s="58">
        <v>1</v>
      </c>
      <c r="Q34" s="42">
        <f t="shared" si="4"/>
        <v>3875</v>
      </c>
      <c r="R34" s="42"/>
      <c r="S34" s="42">
        <f t="shared" si="5"/>
        <v>210</v>
      </c>
      <c r="T34" s="42">
        <f t="shared" si="6"/>
        <v>839375</v>
      </c>
      <c r="U34" s="42"/>
      <c r="V34" s="42"/>
      <c r="W34" s="42"/>
      <c r="X34" s="42"/>
      <c r="Y34" s="42"/>
    </row>
    <row r="35" spans="2:25" x14ac:dyDescent="0.25">
      <c r="B35" s="45">
        <v>12</v>
      </c>
      <c r="C35" s="48" t="s">
        <v>35</v>
      </c>
      <c r="D35" s="42"/>
      <c r="E35" s="42"/>
      <c r="F35" s="42"/>
      <c r="G35" s="42"/>
      <c r="H35" s="42"/>
      <c r="I35" s="42"/>
      <c r="J35" s="42"/>
      <c r="K35" s="42"/>
      <c r="L35" s="58">
        <v>4</v>
      </c>
      <c r="M35" s="42">
        <f t="shared" si="2"/>
        <v>16000</v>
      </c>
      <c r="N35" s="58">
        <v>32</v>
      </c>
      <c r="O35" s="42">
        <f t="shared" si="3"/>
        <v>124000</v>
      </c>
      <c r="P35" s="58">
        <v>170</v>
      </c>
      <c r="Q35" s="42">
        <f t="shared" si="4"/>
        <v>658750</v>
      </c>
      <c r="R35" s="42"/>
      <c r="S35" s="42">
        <f t="shared" si="5"/>
        <v>206</v>
      </c>
      <c r="T35" s="42">
        <f t="shared" si="6"/>
        <v>798750</v>
      </c>
      <c r="U35" s="42"/>
      <c r="V35" s="42"/>
      <c r="W35" s="42"/>
      <c r="X35" s="42"/>
      <c r="Y35" s="42"/>
    </row>
    <row r="36" spans="2:25" x14ac:dyDescent="0.25">
      <c r="B36" s="45">
        <v>13</v>
      </c>
      <c r="C36" s="48" t="s">
        <v>36</v>
      </c>
      <c r="D36" s="42"/>
      <c r="E36" s="42"/>
      <c r="F36" s="42"/>
      <c r="G36" s="42"/>
      <c r="H36" s="42"/>
      <c r="I36" s="42"/>
      <c r="J36" s="42"/>
      <c r="K36" s="42"/>
      <c r="L36" s="58">
        <v>8</v>
      </c>
      <c r="M36" s="42">
        <f t="shared" si="2"/>
        <v>32000</v>
      </c>
      <c r="N36" s="58">
        <v>33</v>
      </c>
      <c r="O36" s="42">
        <f t="shared" si="3"/>
        <v>127875</v>
      </c>
      <c r="P36" s="58">
        <v>30</v>
      </c>
      <c r="Q36" s="42">
        <f t="shared" si="4"/>
        <v>116250</v>
      </c>
      <c r="R36" s="42"/>
      <c r="S36" s="42">
        <f t="shared" si="5"/>
        <v>71</v>
      </c>
      <c r="T36" s="42">
        <f t="shared" si="6"/>
        <v>276125</v>
      </c>
      <c r="U36" s="42"/>
      <c r="V36" s="42"/>
      <c r="W36" s="42"/>
      <c r="X36" s="42"/>
      <c r="Y36" s="42"/>
    </row>
    <row r="37" spans="2:25" x14ac:dyDescent="0.25">
      <c r="B37" s="43"/>
      <c r="C37" s="66"/>
      <c r="D37" s="70"/>
      <c r="E37" s="70"/>
      <c r="F37" s="70"/>
      <c r="G37" s="70"/>
      <c r="H37" s="70"/>
      <c r="I37" s="70"/>
      <c r="J37" s="70"/>
      <c r="K37" s="70"/>
      <c r="L37" s="70">
        <f t="shared" ref="L37:Q37" si="7">SUM(L24:L36)</f>
        <v>744</v>
      </c>
      <c r="M37" s="70">
        <f t="shared" si="7"/>
        <v>2976000</v>
      </c>
      <c r="N37" s="70">
        <f t="shared" si="7"/>
        <v>744</v>
      </c>
      <c r="O37" s="70">
        <f t="shared" si="7"/>
        <v>2883000</v>
      </c>
      <c r="P37" s="70">
        <f t="shared" si="7"/>
        <v>744</v>
      </c>
      <c r="Q37" s="70">
        <f t="shared" si="7"/>
        <v>2883000</v>
      </c>
      <c r="R37" s="70"/>
      <c r="S37" s="70">
        <f>SUM(S24:S36)</f>
        <v>2232</v>
      </c>
      <c r="T37" s="70">
        <f>SUM(T24:T36)</f>
        <v>8742000</v>
      </c>
      <c r="U37" s="70"/>
      <c r="V37" s="70"/>
      <c r="W37" s="70"/>
      <c r="X37" s="70"/>
      <c r="Y37" s="7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34" t="s">
        <v>45</v>
      </c>
      <c r="I2" s="34" t="s">
        <v>46</v>
      </c>
      <c r="J2" s="34" t="s">
        <v>47</v>
      </c>
    </row>
    <row r="3" spans="1:10" x14ac:dyDescent="0.25">
      <c r="A3">
        <v>35000</v>
      </c>
      <c r="B3">
        <v>34000</v>
      </c>
      <c r="F3">
        <v>0</v>
      </c>
      <c r="I3" s="36">
        <f>Sheet1!B3</f>
        <v>45931</v>
      </c>
    </row>
    <row r="4" spans="1:10" x14ac:dyDescent="0.25">
      <c r="I4" s="37">
        <f>EOMONTH(I3,0)</f>
        <v>45961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86">
        <f>A11/8</f>
        <v>2187.5</v>
      </c>
      <c r="B12" s="86" t="s">
        <v>66</v>
      </c>
      <c r="C12" s="86"/>
      <c r="D12" s="86"/>
      <c r="E1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2025-11-09T02:19:50Z</cp:lastPrinted>
  <dcterms:created xsi:type="dcterms:W3CDTF">2022-07-05T15:57:31Z</dcterms:created>
  <dcterms:modified xsi:type="dcterms:W3CDTF">2025-11-09T02:26:22Z</dcterms:modified>
</cp:coreProperties>
</file>