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60" yWindow="-60" windowWidth="20520" windowHeight="11220"/>
  </bookViews>
  <sheets>
    <sheet name="Sheet1" sheetId="1" r:id="rId1"/>
    <sheet name="Sheet3" sheetId="4" r:id="rId2"/>
    <sheet name="Sheet2" sheetId="3" r:id="rId3"/>
    <sheet name="data" sheetId="2" r:id="rId4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6" i="1"/>
  <c r="U7"/>
  <c r="U8"/>
  <c r="U9"/>
  <c r="U10"/>
  <c r="U11"/>
  <c r="U12"/>
  <c r="U13"/>
  <c r="U14"/>
  <c r="V6"/>
  <c r="V7"/>
  <c r="V8"/>
  <c r="V9"/>
  <c r="V10"/>
  <c r="V11"/>
  <c r="V12"/>
  <c r="V13"/>
  <c r="V14"/>
  <c r="P6"/>
  <c r="AD6" s="1"/>
  <c r="P7"/>
  <c r="AD7" s="1"/>
  <c r="P8"/>
  <c r="AD8" s="1"/>
  <c r="P9"/>
  <c r="P10"/>
  <c r="AD10" s="1"/>
  <c r="P11"/>
  <c r="AD11" s="1"/>
  <c r="P12"/>
  <c r="P13"/>
  <c r="AD13" s="1"/>
  <c r="P14"/>
  <c r="AD14" s="1"/>
  <c r="P5"/>
  <c r="AD9"/>
  <c r="AD12"/>
  <c r="F27"/>
  <c r="U5" l="1"/>
  <c r="S6" l="1"/>
  <c r="S10"/>
  <c r="S11"/>
  <c r="P15"/>
  <c r="S15" s="1"/>
  <c r="P16"/>
  <c r="A10" i="2"/>
  <c r="A11" s="1"/>
  <c r="A12" s="1"/>
  <c r="I4"/>
  <c r="I3"/>
  <c r="P37" i="3"/>
  <c r="N37"/>
  <c r="L37"/>
  <c r="S36"/>
  <c r="Q36"/>
  <c r="O36"/>
  <c r="M36"/>
  <c r="T36" s="1"/>
  <c r="S35"/>
  <c r="Q35"/>
  <c r="O35"/>
  <c r="M35"/>
  <c r="T35" s="1"/>
  <c r="S34"/>
  <c r="Q34"/>
  <c r="O34"/>
  <c r="M34"/>
  <c r="T34" s="1"/>
  <c r="S33"/>
  <c r="Q33"/>
  <c r="O33"/>
  <c r="M33"/>
  <c r="T33" s="1"/>
  <c r="S32"/>
  <c r="Q32"/>
  <c r="O32"/>
  <c r="M32"/>
  <c r="T32" s="1"/>
  <c r="S31"/>
  <c r="Q31"/>
  <c r="O31"/>
  <c r="M31"/>
  <c r="T31" s="1"/>
  <c r="S30"/>
  <c r="Q30"/>
  <c r="O30"/>
  <c r="M30"/>
  <c r="T30" s="1"/>
  <c r="S29"/>
  <c r="Q29"/>
  <c r="O29"/>
  <c r="M29"/>
  <c r="T29" s="1"/>
  <c r="S28"/>
  <c r="Q28"/>
  <c r="O28"/>
  <c r="M28"/>
  <c r="T28" s="1"/>
  <c r="S27"/>
  <c r="Q27"/>
  <c r="O27"/>
  <c r="M27"/>
  <c r="T27" s="1"/>
  <c r="S26"/>
  <c r="Q26"/>
  <c r="O26"/>
  <c r="M26"/>
  <c r="M37" s="1"/>
  <c r="S25"/>
  <c r="Q25"/>
  <c r="O25"/>
  <c r="M25"/>
  <c r="T25" s="1"/>
  <c r="S24"/>
  <c r="S37" s="1"/>
  <c r="Q24"/>
  <c r="Q37" s="1"/>
  <c r="O24"/>
  <c r="O37" s="1"/>
  <c r="M24"/>
  <c r="T24" s="1"/>
  <c r="R17"/>
  <c r="S17" s="1"/>
  <c r="S16"/>
  <c r="R16"/>
  <c r="R15"/>
  <c r="S15" s="1"/>
  <c r="S14"/>
  <c r="R14"/>
  <c r="R13"/>
  <c r="S13" s="1"/>
  <c r="S12"/>
  <c r="R12"/>
  <c r="R11"/>
  <c r="S11" s="1"/>
  <c r="S10"/>
  <c r="R10"/>
  <c r="R9"/>
  <c r="S9" s="1"/>
  <c r="S8"/>
  <c r="R8"/>
  <c r="R7"/>
  <c r="S7" s="1"/>
  <c r="S6"/>
  <c r="R6"/>
  <c r="R5"/>
  <c r="S5" s="1"/>
  <c r="F29" i="1"/>
  <c r="X26"/>
  <c r="X27" s="1"/>
  <c r="Y27" s="1"/>
  <c r="W18"/>
  <c r="AK17"/>
  <c r="AH17"/>
  <c r="X17"/>
  <c r="O17"/>
  <c r="N17"/>
  <c r="M17"/>
  <c r="L17"/>
  <c r="J17"/>
  <c r="AL16"/>
  <c r="AE16"/>
  <c r="W16"/>
  <c r="V16"/>
  <c r="U16"/>
  <c r="T16"/>
  <c r="R16"/>
  <c r="AO15"/>
  <c r="AL15"/>
  <c r="W15"/>
  <c r="V15"/>
  <c r="U15"/>
  <c r="T15"/>
  <c r="R15"/>
  <c r="AO14"/>
  <c r="AL14"/>
  <c r="AI14"/>
  <c r="W14"/>
  <c r="T14"/>
  <c r="R14"/>
  <c r="AL13"/>
  <c r="AO12"/>
  <c r="AL12"/>
  <c r="AI12"/>
  <c r="W12"/>
  <c r="T12"/>
  <c r="R12"/>
  <c r="AO11"/>
  <c r="AL11"/>
  <c r="AI11"/>
  <c r="W11"/>
  <c r="T11"/>
  <c r="R11"/>
  <c r="AO10"/>
  <c r="AL10"/>
  <c r="AI10"/>
  <c r="W10"/>
  <c r="T10"/>
  <c r="R10"/>
  <c r="AO9"/>
  <c r="AL9"/>
  <c r="AI9"/>
  <c r="W9"/>
  <c r="T9"/>
  <c r="R9"/>
  <c r="S9"/>
  <c r="AO8"/>
  <c r="AL8"/>
  <c r="AI8"/>
  <c r="W8"/>
  <c r="T8"/>
  <c r="R8"/>
  <c r="AO7"/>
  <c r="AL7"/>
  <c r="AI7"/>
  <c r="W7"/>
  <c r="T7"/>
  <c r="R7"/>
  <c r="W6"/>
  <c r="T6"/>
  <c r="R6"/>
  <c r="AO5"/>
  <c r="AL5"/>
  <c r="AI5"/>
  <c r="W5"/>
  <c r="V5"/>
  <c r="T5"/>
  <c r="R5"/>
  <c r="S5"/>
  <c r="T17" l="1"/>
  <c r="AG12"/>
  <c r="S14"/>
  <c r="AG14"/>
  <c r="AG10"/>
  <c r="S7"/>
  <c r="AI17"/>
  <c r="W17"/>
  <c r="Y26"/>
  <c r="V17"/>
  <c r="AG8"/>
  <c r="AG11"/>
  <c r="R17"/>
  <c r="AF8"/>
  <c r="S8"/>
  <c r="AF11"/>
  <c r="AF14"/>
  <c r="S12"/>
  <c r="P17"/>
  <c r="F30" s="1"/>
  <c r="F31" s="1"/>
  <c r="L20"/>
  <c r="L18"/>
  <c r="E23" s="1"/>
  <c r="T26" i="3"/>
  <c r="T37" s="1"/>
  <c r="AD5" i="1"/>
  <c r="AD15"/>
  <c r="AF12" l="1"/>
  <c r="AF10"/>
  <c r="S17"/>
  <c r="U17"/>
  <c r="AG7"/>
  <c r="AF7"/>
  <c r="Q9"/>
  <c r="Y9" s="1"/>
  <c r="Q10"/>
  <c r="Y10" s="1"/>
  <c r="Q14"/>
  <c r="Y14" s="1"/>
  <c r="Q11"/>
  <c r="Y11" s="1"/>
  <c r="Q12"/>
  <c r="Y12" s="1"/>
  <c r="Q8"/>
  <c r="Y8" s="1"/>
  <c r="Q5"/>
  <c r="Y5" s="1"/>
  <c r="Q7"/>
  <c r="Y7" s="1"/>
  <c r="Q13"/>
  <c r="Y13" s="1"/>
  <c r="Q6"/>
  <c r="Y6" s="1"/>
  <c r="Q16"/>
  <c r="Y16" s="1"/>
  <c r="Q15"/>
  <c r="Y15" s="1"/>
  <c r="AG9"/>
  <c r="AF9"/>
  <c r="AG5"/>
  <c r="AF5"/>
  <c r="AE15"/>
  <c r="AF15" s="1"/>
  <c r="Q17" l="1"/>
  <c r="Y17"/>
</calcChain>
</file>

<file path=xl/sharedStrings.xml><?xml version="1.0" encoding="utf-8"?>
<sst xmlns="http://schemas.openxmlformats.org/spreadsheetml/2006/main" count="227" uniqueCount="91">
  <si>
    <t>Gaji Warnet</t>
  </si>
  <si>
    <t>No</t>
  </si>
  <si>
    <t>OP</t>
  </si>
  <si>
    <t>tetap</t>
  </si>
  <si>
    <t>pk</t>
  </si>
  <si>
    <t>tk</t>
  </si>
  <si>
    <t>senior</t>
  </si>
  <si>
    <t>lulus evaluasi</t>
  </si>
  <si>
    <t>over shift</t>
  </si>
  <si>
    <t>Kebersihan PC</t>
  </si>
  <si>
    <t>konten</t>
  </si>
  <si>
    <t>shift 1</t>
  </si>
  <si>
    <t>shift 2</t>
  </si>
  <si>
    <t>shift 3</t>
  </si>
  <si>
    <t>Shift BO</t>
  </si>
  <si>
    <t>jml jam</t>
  </si>
  <si>
    <t>gaji</t>
  </si>
  <si>
    <t>over
shift</t>
  </si>
  <si>
    <t>Penalty Kebersihan PC</t>
  </si>
  <si>
    <t xml:space="preserve">konten
training
</t>
  </si>
  <si>
    <t xml:space="preserve">hardware komisi cafe
</t>
  </si>
  <si>
    <t>total</t>
  </si>
  <si>
    <t>bo</t>
  </si>
  <si>
    <t>warnet</t>
  </si>
  <si>
    <t>fix total</t>
  </si>
  <si>
    <t>Alfred</t>
  </si>
  <si>
    <t>percobaan</t>
  </si>
  <si>
    <t>-</t>
  </si>
  <si>
    <t>Arif</t>
  </si>
  <si>
    <t>pelatihan</t>
  </si>
  <si>
    <t>+</t>
  </si>
  <si>
    <t>Gilang</t>
  </si>
  <si>
    <t>ok</t>
  </si>
  <si>
    <t>Hafis</t>
  </si>
  <si>
    <t>Henbediona</t>
  </si>
  <si>
    <t>Ridwan</t>
  </si>
  <si>
    <t>riniroma</t>
  </si>
  <si>
    <t>Ronald</t>
  </si>
  <si>
    <t>Yoga</t>
  </si>
  <si>
    <t>Yulika</t>
  </si>
  <si>
    <t>faktor penambah gaji</t>
  </si>
  <si>
    <t>note</t>
  </si>
  <si>
    <t>outlet aktif</t>
  </si>
  <si>
    <t>total jam kerja 1bulan normal</t>
  </si>
  <si>
    <t>total jam tutup karena efisiensi</t>
  </si>
  <si>
    <t>Total jam kerja efektif</t>
  </si>
  <si>
    <t>total jam kerja</t>
  </si>
  <si>
    <t>selisih jam kerja (BO/pendampingan)</t>
  </si>
  <si>
    <t>Nama</t>
  </si>
  <si>
    <t>Shift</t>
  </si>
  <si>
    <t xml:space="preserve">Total Jam </t>
  </si>
  <si>
    <t>Keterangan</t>
  </si>
  <si>
    <t>Reza</t>
  </si>
  <si>
    <t>Rekap Lulus PK</t>
  </si>
  <si>
    <t>1x Agus 24</t>
  </si>
  <si>
    <t>1x Okto 24</t>
  </si>
  <si>
    <t>Rekap Presensi BO</t>
  </si>
  <si>
    <t>basik jam</t>
  </si>
  <si>
    <t>basik hari</t>
  </si>
  <si>
    <t>Ali</t>
  </si>
  <si>
    <t>Iman</t>
  </si>
  <si>
    <t>meeting</t>
  </si>
  <si>
    <t>Ardian</t>
  </si>
  <si>
    <t>Ajeng</t>
  </si>
  <si>
    <t>Yudha</t>
  </si>
  <si>
    <t>Anita</t>
  </si>
  <si>
    <t>Rini</t>
  </si>
  <si>
    <t>Rizal</t>
  </si>
  <si>
    <t>Haris</t>
  </si>
  <si>
    <t>1</t>
  </si>
  <si>
    <t>2-3</t>
  </si>
  <si>
    <t>gc</t>
  </si>
  <si>
    <t>peatihan</t>
  </si>
  <si>
    <t>nilai shift 1</t>
  </si>
  <si>
    <t>no</t>
  </si>
  <si>
    <t xml:space="preserve">shift </t>
  </si>
  <si>
    <t>satu</t>
  </si>
  <si>
    <t>dua-tiga</t>
  </si>
  <si>
    <t>devaluasi M2</t>
  </si>
  <si>
    <t>jml hari pada bulan</t>
  </si>
  <si>
    <t>jml outlet</t>
  </si>
  <si>
    <t>tambahan untk jam shift lebaran</t>
  </si>
  <si>
    <t>Tahun Masuk</t>
  </si>
  <si>
    <t>2 Mei 2024</t>
  </si>
  <si>
    <t>15 Mei 2024</t>
  </si>
  <si>
    <t>14 Juli 2024</t>
  </si>
  <si>
    <t>11 Juli 2024</t>
  </si>
  <si>
    <t>mepet</t>
  </si>
  <si>
    <t>meeting pelatihan</t>
  </si>
  <si>
    <t>telat  meeting pelatihan</t>
  </si>
  <si>
    <t>telat meeting pelatihan GC</t>
  </si>
</sst>
</file>

<file path=xl/styles.xml><?xml version="1.0" encoding="utf-8"?>
<styleSheet xmlns="http://schemas.openxmlformats.org/spreadsheetml/2006/main">
  <numFmts count="8">
    <numFmt numFmtId="43" formatCode="_(* #,##0.00_);_(* \(#,##0.00\);_(* &quot;-&quot;??_);_(@_)"/>
    <numFmt numFmtId="164" formatCode="_-* #,##0_-;\-* #,##0_-;_-* &quot;-&quot;_-;_-@_-"/>
    <numFmt numFmtId="165" formatCode="mmmm\ yyyy"/>
    <numFmt numFmtId="166" formatCode="dd"/>
    <numFmt numFmtId="167" formatCode="mmmm\-yyyy"/>
    <numFmt numFmtId="168" formatCode="#,##0;[Red]\(#,##0\)"/>
    <numFmt numFmtId="169" formatCode="_(* #,##0_);_(* \(#,##0\);_(* &quot;-&quot;??_);_(@_)"/>
    <numFmt numFmtId="170" formatCode="[$-F800]dddd\,\ mmmm\ dd\,\ yyyy"/>
  </numFmts>
  <fonts count="33">
    <font>
      <sz val="11"/>
      <name val="Calibri"/>
      <charset val="134"/>
    </font>
    <font>
      <sz val="11"/>
      <color rgb="FFFFFF00"/>
      <name val="Calibri"/>
      <charset val="134"/>
    </font>
    <font>
      <sz val="8"/>
      <color rgb="FF1F3964"/>
      <name val="Arial"/>
      <charset val="134"/>
    </font>
    <font>
      <sz val="8"/>
      <name val="Calibri"/>
      <charset val="134"/>
    </font>
    <font>
      <sz val="11"/>
      <name val="Calibri"/>
      <charset val="134"/>
    </font>
    <font>
      <sz val="12"/>
      <color rgb="FF000000"/>
      <name val="Calibri"/>
      <charset val="134"/>
    </font>
    <font>
      <b/>
      <sz val="20"/>
      <color theme="1"/>
      <name val="Calibri"/>
      <charset val="134"/>
    </font>
    <font>
      <sz val="12"/>
      <name val="Calibri"/>
      <charset val="134"/>
    </font>
    <font>
      <sz val="11"/>
      <name val="Verdana"/>
      <charset val="134"/>
    </font>
    <font>
      <sz val="12"/>
      <color rgb="FF1F3964"/>
      <name val="Verdana"/>
      <charset val="134"/>
    </font>
    <font>
      <sz val="11"/>
      <color rgb="FF000000"/>
      <name val="Verdana"/>
      <charset val="134"/>
    </font>
    <font>
      <sz val="12"/>
      <color rgb="FF000000"/>
      <name val="Verdana"/>
      <charset val="134"/>
    </font>
    <font>
      <sz val="12"/>
      <color theme="1"/>
      <name val="Verdana"/>
      <charset val="134"/>
    </font>
    <font>
      <sz val="12"/>
      <color rgb="FF435369"/>
      <name val="Verdana"/>
      <charset val="134"/>
    </font>
    <font>
      <b/>
      <sz val="12"/>
      <color rgb="FF435369"/>
      <name val="Verdana"/>
      <charset val="134"/>
    </font>
    <font>
      <sz val="11"/>
      <color theme="0" tint="-0.34998626667073579"/>
      <name val="Verdana"/>
      <charset val="134"/>
    </font>
    <font>
      <sz val="12"/>
      <name val="Verdana"/>
      <charset val="134"/>
    </font>
    <font>
      <b/>
      <sz val="12"/>
      <color rgb="FF000000"/>
      <name val="Verdana"/>
      <charset val="134"/>
    </font>
    <font>
      <sz val="9"/>
      <color rgb="FF000000"/>
      <name val="Verdana"/>
      <charset val="134"/>
    </font>
    <font>
      <sz val="10"/>
      <color rgb="FF002060"/>
      <name val="Verdana"/>
      <charset val="134"/>
    </font>
    <font>
      <sz val="12"/>
      <color theme="0"/>
      <name val="Verdana"/>
      <charset val="134"/>
    </font>
    <font>
      <sz val="12"/>
      <color rgb="FF1F3964"/>
      <name val="Arial"/>
      <charset val="134"/>
    </font>
    <font>
      <sz val="12"/>
      <name val="Arial"/>
      <charset val="134"/>
    </font>
    <font>
      <sz val="11"/>
      <color rgb="FF000000"/>
      <name val="Calibri"/>
      <charset val="134"/>
    </font>
    <font>
      <sz val="11"/>
      <name val="Calibri"/>
      <family val="2"/>
    </font>
    <font>
      <sz val="12"/>
      <color rgb="FF1F3964"/>
      <name val="Terminal"/>
      <family val="3"/>
      <charset val="255"/>
    </font>
    <font>
      <sz val="12"/>
      <color theme="4" tint="-0.499984740745262"/>
      <name val="Terminal"/>
      <family val="3"/>
      <charset val="255"/>
    </font>
    <font>
      <sz val="12"/>
      <color rgb="FF1F3964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sz val="12"/>
      <name val="Consolas"/>
      <family val="3"/>
    </font>
    <font>
      <sz val="12"/>
      <color theme="4" tint="-0.499984740745262"/>
      <name val="Verdana"/>
      <family val="2"/>
    </font>
    <font>
      <sz val="12"/>
      <color rgb="FF333333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5F5F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0" borderId="0">
      <protection locked="0"/>
    </xf>
    <xf numFmtId="0" fontId="23" fillId="0" borderId="0">
      <protection locked="0"/>
    </xf>
    <xf numFmtId="0" fontId="4" fillId="0" borderId="0">
      <alignment vertical="center"/>
    </xf>
  </cellStyleXfs>
  <cellXfs count="162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2" borderId="0" xfId="0" applyFont="1" applyFill="1">
      <alignment vertical="center"/>
    </xf>
    <xf numFmtId="165" fontId="0" fillId="0" borderId="0" xfId="0" applyNumberFormat="1">
      <alignment vertical="center"/>
    </xf>
    <xf numFmtId="166" fontId="0" fillId="0" borderId="0" xfId="0" applyNumberFormat="1" applyAlignment="1">
      <alignment horizontal="center" vertical="center"/>
    </xf>
    <xf numFmtId="164" fontId="2" fillId="3" borderId="1" xfId="2" applyFont="1" applyFill="1" applyBorder="1" applyAlignment="1">
      <alignment horizontal="center" vertical="center" wrapText="1"/>
    </xf>
    <xf numFmtId="164" fontId="2" fillId="3" borderId="1" xfId="2" applyFont="1" applyFill="1" applyBorder="1" applyAlignment="1">
      <alignment horizontal="center" vertical="center"/>
    </xf>
    <xf numFmtId="164" fontId="2" fillId="0" borderId="1" xfId="2" applyFont="1" applyFill="1" applyBorder="1" applyAlignment="1">
      <alignment horizontal="center" vertical="center" wrapText="1"/>
    </xf>
    <xf numFmtId="164" fontId="2" fillId="0" borderId="1" xfId="2" applyFont="1" applyBorder="1" applyAlignment="1">
      <alignment horizontal="left" vertical="center"/>
    </xf>
    <xf numFmtId="164" fontId="2" fillId="0" borderId="1" xfId="2" applyFont="1" applyFill="1" applyBorder="1" applyAlignment="1">
      <alignment horizontal="left" vertical="center"/>
    </xf>
    <xf numFmtId="164" fontId="2" fillId="0" borderId="1" xfId="2" applyFont="1" applyFill="1" applyBorder="1" applyAlignment="1">
      <alignment horizontal="left" vertical="center" wrapText="1"/>
    </xf>
    <xf numFmtId="164" fontId="2" fillId="4" borderId="1" xfId="2" applyFont="1" applyFill="1" applyBorder="1" applyAlignment="1">
      <alignment horizontal="center" vertical="center" wrapText="1"/>
    </xf>
    <xf numFmtId="164" fontId="2" fillId="4" borderId="1" xfId="2" applyFont="1" applyFill="1" applyBorder="1" applyAlignment="1">
      <alignment horizontal="left" vertical="center" wrapText="1"/>
    </xf>
    <xf numFmtId="164" fontId="2" fillId="4" borderId="1" xfId="2" applyFont="1" applyFill="1" applyBorder="1" applyAlignment="1">
      <alignment horizontal="left" vertical="center"/>
    </xf>
    <xf numFmtId="164" fontId="2" fillId="4" borderId="1" xfId="2" applyFont="1" applyFill="1" applyBorder="1" applyAlignment="1">
      <alignment horizontal="center" vertical="center"/>
    </xf>
    <xf numFmtId="164" fontId="2" fillId="0" borderId="1" xfId="2" applyFont="1" applyFill="1" applyBorder="1" applyAlignment="1">
      <alignment horizontal="center" vertical="center"/>
    </xf>
    <xf numFmtId="164" fontId="2" fillId="5" borderId="1" xfId="2" applyFont="1" applyFill="1" applyBorder="1" applyAlignment="1">
      <alignment horizontal="center" vertical="center" wrapText="1"/>
    </xf>
    <xf numFmtId="164" fontId="2" fillId="5" borderId="1" xfId="2" applyFont="1" applyFill="1" applyBorder="1" applyAlignment="1">
      <alignment horizontal="left" vertical="center"/>
    </xf>
    <xf numFmtId="164" fontId="2" fillId="5" borderId="1" xfId="2" applyFont="1" applyFill="1" applyBorder="1" applyAlignment="1">
      <alignment horizontal="center" vertical="center"/>
    </xf>
    <xf numFmtId="164" fontId="2" fillId="5" borderId="1" xfId="2" applyFont="1" applyFill="1" applyBorder="1" applyAlignment="1">
      <alignment horizontal="left" vertical="center" wrapText="1"/>
    </xf>
    <xf numFmtId="164" fontId="3" fillId="0" borderId="1" xfId="2" applyFont="1" applyBorder="1" applyAlignment="1">
      <alignment vertical="center"/>
    </xf>
    <xf numFmtId="164" fontId="2" fillId="3" borderId="1" xfId="2" applyFont="1" applyFill="1" applyBorder="1" applyAlignment="1">
      <alignment horizontal="left" vertical="center"/>
    </xf>
    <xf numFmtId="164" fontId="0" fillId="0" borderId="0" xfId="2" applyFont="1" applyAlignment="1">
      <alignment vertical="center"/>
    </xf>
    <xf numFmtId="164" fontId="0" fillId="0" borderId="1" xfId="2" applyFont="1" applyBorder="1" applyAlignment="1">
      <alignment vertical="center"/>
    </xf>
    <xf numFmtId="164" fontId="0" fillId="3" borderId="1" xfId="2" applyFont="1" applyFill="1" applyBorder="1" applyAlignment="1">
      <alignment vertical="center"/>
    </xf>
    <xf numFmtId="164" fontId="2" fillId="0" borderId="1" xfId="2" applyFont="1" applyFill="1" applyBorder="1" applyAlignment="1">
      <alignment horizontal="right" vertical="center" wrapText="1"/>
    </xf>
    <xf numFmtId="164" fontId="2" fillId="4" borderId="1" xfId="2" applyFont="1" applyFill="1" applyBorder="1" applyAlignment="1">
      <alignment horizontal="right" vertical="center" wrapText="1"/>
    </xf>
    <xf numFmtId="164" fontId="2" fillId="4" borderId="1" xfId="2" applyFont="1" applyFill="1" applyBorder="1" applyAlignment="1">
      <alignment horizontal="right" vertical="center"/>
    </xf>
    <xf numFmtId="164" fontId="2" fillId="0" borderId="1" xfId="2" applyFont="1" applyFill="1" applyBorder="1" applyAlignment="1">
      <alignment horizontal="right" vertical="center"/>
    </xf>
    <xf numFmtId="164" fontId="2" fillId="5" borderId="1" xfId="2" applyFont="1" applyFill="1" applyBorder="1" applyAlignment="1">
      <alignment horizontal="right" vertical="center"/>
    </xf>
    <xf numFmtId="164" fontId="2" fillId="5" borderId="1" xfId="2" applyFont="1" applyFill="1" applyBorder="1" applyAlignment="1">
      <alignment horizontal="right" vertical="center" wrapText="1"/>
    </xf>
    <xf numFmtId="164" fontId="2" fillId="3" borderId="1" xfId="2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>
      <alignment vertical="center"/>
    </xf>
    <xf numFmtId="0" fontId="0" fillId="5" borderId="0" xfId="0" applyFill="1">
      <alignment vertical="center"/>
    </xf>
    <xf numFmtId="0" fontId="0" fillId="0" borderId="0" xfId="0" applyFont="1" applyFill="1">
      <alignment vertical="center"/>
    </xf>
    <xf numFmtId="0" fontId="5" fillId="0" borderId="0" xfId="0" applyFont="1" applyAlignment="1"/>
    <xf numFmtId="0" fontId="6" fillId="0" borderId="0" xfId="0" applyFont="1" applyAlignment="1"/>
    <xf numFmtId="0" fontId="5" fillId="0" borderId="0" xfId="0" applyFont="1" applyFill="1" applyAlignment="1"/>
    <xf numFmtId="0" fontId="5" fillId="6" borderId="0" xfId="0" applyFont="1" applyFill="1" applyAlignment="1"/>
    <xf numFmtId="0" fontId="7" fillId="0" borderId="0" xfId="0" applyFont="1" applyFill="1" applyAlignment="1"/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horizontal="center"/>
    </xf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1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4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right" vertical="center"/>
    </xf>
    <xf numFmtId="164" fontId="13" fillId="0" borderId="0" xfId="2" applyFont="1" applyFill="1" applyAlignment="1" applyProtection="1">
      <alignment horizontal="right" vertical="center"/>
    </xf>
    <xf numFmtId="0" fontId="13" fillId="0" borderId="0" xfId="3" applyFont="1" applyAlignment="1" applyProtection="1"/>
    <xf numFmtId="164" fontId="9" fillId="0" borderId="5" xfId="2" applyFont="1" applyFill="1" applyBorder="1" applyAlignment="1">
      <alignment horizontal="right" vertical="center"/>
    </xf>
    <xf numFmtId="0" fontId="13" fillId="0" borderId="0" xfId="3" applyFont="1" applyAlignment="1" applyProtection="1">
      <alignment horizontal="center"/>
    </xf>
    <xf numFmtId="164" fontId="14" fillId="0" borderId="0" xfId="2" applyFont="1" applyFill="1" applyAlignment="1" applyProtection="1">
      <alignment horizontal="right" vertical="center"/>
    </xf>
    <xf numFmtId="0" fontId="13" fillId="0" borderId="0" xfId="3" applyFont="1" applyFill="1" applyAlignment="1" applyProtection="1">
      <alignment horizontal="center"/>
    </xf>
    <xf numFmtId="168" fontId="13" fillId="0" borderId="0" xfId="2" applyNumberFormat="1" applyFont="1" applyFill="1" applyAlignment="1" applyProtection="1">
      <alignment horizontal="right" vertical="center"/>
    </xf>
    <xf numFmtId="0" fontId="13" fillId="0" borderId="0" xfId="3" applyFont="1" applyFill="1" applyAlignment="1" applyProtection="1"/>
    <xf numFmtId="0" fontId="8" fillId="0" borderId="0" xfId="0" applyFont="1">
      <alignment vertical="center"/>
    </xf>
    <xf numFmtId="0" fontId="9" fillId="0" borderId="0" xfId="0" applyFont="1" applyFill="1" applyBorder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3" fontId="9" fillId="0" borderId="0" xfId="0" applyNumberFormat="1" applyFont="1" applyFill="1" applyAlignment="1">
      <alignment horizontal="center" vertical="center"/>
    </xf>
    <xf numFmtId="0" fontId="17" fillId="0" borderId="0" xfId="0" applyFont="1" applyAlignment="1"/>
    <xf numFmtId="0" fontId="11" fillId="0" borderId="0" xfId="0" applyFont="1" applyAlignment="1">
      <alignment horizontal="right"/>
    </xf>
    <xf numFmtId="0" fontId="11" fillId="0" borderId="0" xfId="0" applyFont="1" applyAlignment="1"/>
    <xf numFmtId="166" fontId="11" fillId="0" borderId="0" xfId="0" applyNumberFormat="1" applyFont="1" applyAlignment="1"/>
    <xf numFmtId="169" fontId="18" fillId="0" borderId="0" xfId="1" applyNumberFormat="1" applyFont="1" applyAlignment="1"/>
    <xf numFmtId="169" fontId="20" fillId="0" borderId="0" xfId="1" applyNumberFormat="1" applyFont="1" applyFill="1" applyAlignment="1">
      <alignment horizontal="left"/>
    </xf>
    <xf numFmtId="169" fontId="20" fillId="0" borderId="0" xfId="0" applyNumberFormat="1" applyFont="1" applyFill="1" applyAlignment="1">
      <alignment horizontal="left"/>
    </xf>
    <xf numFmtId="3" fontId="9" fillId="0" borderId="0" xfId="0" applyNumberFormat="1" applyFont="1" applyFill="1" applyBorder="1" applyAlignment="1">
      <alignment horizontal="center" vertical="center"/>
    </xf>
    <xf numFmtId="0" fontId="0" fillId="6" borderId="0" xfId="0" applyFill="1">
      <alignment vertical="center"/>
    </xf>
    <xf numFmtId="0" fontId="21" fillId="3" borderId="6" xfId="0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center" vertical="center" wrapText="1"/>
    </xf>
    <xf numFmtId="0" fontId="0" fillId="6" borderId="0" xfId="0" applyFont="1" applyFill="1">
      <alignment vertical="center"/>
    </xf>
    <xf numFmtId="43" fontId="20" fillId="0" borderId="0" xfId="0" applyNumberFormat="1" applyFont="1" applyFill="1" applyAlignment="1">
      <alignment horizontal="left"/>
    </xf>
    <xf numFmtId="164" fontId="0" fillId="0" borderId="0" xfId="0" applyNumberFormat="1">
      <alignment vertical="center"/>
    </xf>
    <xf numFmtId="0" fontId="21" fillId="3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right" vertical="center" wrapText="1"/>
    </xf>
    <xf numFmtId="169" fontId="0" fillId="0" borderId="0" xfId="1" applyNumberFormat="1" applyFont="1" applyFill="1" applyAlignment="1">
      <alignment vertical="center"/>
    </xf>
    <xf numFmtId="0" fontId="21" fillId="0" borderId="0" xfId="0" applyFont="1" applyFill="1" applyAlignment="1">
      <alignment horizontal="left"/>
    </xf>
    <xf numFmtId="0" fontId="21" fillId="6" borderId="1" xfId="0" applyFont="1" applyFill="1" applyBorder="1" applyAlignment="1">
      <alignment horizontal="right" vertical="center"/>
    </xf>
    <xf numFmtId="169" fontId="0" fillId="6" borderId="0" xfId="1" applyNumberFormat="1" applyFont="1" applyFill="1" applyAlignment="1">
      <alignment vertical="center"/>
    </xf>
    <xf numFmtId="0" fontId="21" fillId="6" borderId="0" xfId="0" applyFont="1" applyFill="1" applyAlignment="1">
      <alignment horizontal="left"/>
    </xf>
    <xf numFmtId="0" fontId="22" fillId="6" borderId="1" xfId="0" applyFont="1" applyFill="1" applyBorder="1" applyAlignment="1">
      <alignment horizontal="right" vertical="center"/>
    </xf>
    <xf numFmtId="0" fontId="22" fillId="0" borderId="0" xfId="0" applyFont="1" applyFill="1" applyAlignment="1">
      <alignment horizontal="left"/>
    </xf>
    <xf numFmtId="0" fontId="21" fillId="0" borderId="1" xfId="0" applyFont="1" applyBorder="1" applyAlignment="1">
      <alignment horizontal="right" vertical="center"/>
    </xf>
    <xf numFmtId="169" fontId="0" fillId="3" borderId="0" xfId="1" applyNumberFormat="1" applyFont="1" applyFill="1" applyAlignment="1">
      <alignment vertical="center"/>
    </xf>
    <xf numFmtId="164" fontId="2" fillId="0" borderId="1" xfId="2" quotePrefix="1" applyFont="1" applyFill="1" applyBorder="1" applyAlignment="1">
      <alignment horizontal="center" vertical="center"/>
    </xf>
    <xf numFmtId="164" fontId="0" fillId="0" borderId="0" xfId="2" quotePrefix="1" applyFont="1" applyAlignment="1">
      <alignment vertical="center"/>
    </xf>
    <xf numFmtId="0" fontId="25" fillId="0" borderId="1" xfId="0" applyFont="1" applyFill="1" applyBorder="1" applyAlignment="1">
      <alignment horizontal="right" vertical="center"/>
    </xf>
    <xf numFmtId="0" fontId="26" fillId="0" borderId="1" xfId="0" applyFont="1" applyFill="1" applyBorder="1" applyAlignment="1">
      <alignment horizontal="right" vertical="center"/>
    </xf>
    <xf numFmtId="0" fontId="24" fillId="0" borderId="1" xfId="0" applyFont="1" applyBorder="1" applyAlignment="1">
      <alignment horizontal="center" vertical="center"/>
    </xf>
    <xf numFmtId="3" fontId="25" fillId="3" borderId="13" xfId="0" applyNumberFormat="1" applyFont="1" applyFill="1" applyBorder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0" fontId="27" fillId="3" borderId="7" xfId="0" applyFont="1" applyFill="1" applyBorder="1" applyAlignment="1">
      <alignment horizontal="center" vertical="center" wrapText="1"/>
    </xf>
    <xf numFmtId="0" fontId="27" fillId="3" borderId="8" xfId="0" applyFont="1" applyFill="1" applyBorder="1" applyAlignment="1">
      <alignment horizontal="center" vertical="center" wrapText="1"/>
    </xf>
    <xf numFmtId="0" fontId="27" fillId="3" borderId="8" xfId="0" applyFont="1" applyFill="1" applyBorder="1" applyAlignment="1">
      <alignment horizontal="center" vertical="center"/>
    </xf>
    <xf numFmtId="0" fontId="27" fillId="3" borderId="9" xfId="0" applyFont="1" applyFill="1" applyBorder="1" applyAlignment="1">
      <alignment horizontal="center" vertical="center" wrapText="1"/>
    </xf>
    <xf numFmtId="0" fontId="27" fillId="6" borderId="10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/>
    </xf>
    <xf numFmtId="0" fontId="27" fillId="6" borderId="1" xfId="0" applyFont="1" applyFill="1" applyBorder="1" applyAlignment="1">
      <alignment horizontal="center" vertical="center" wrapText="1"/>
    </xf>
    <xf numFmtId="164" fontId="27" fillId="6" borderId="1" xfId="2" applyFont="1" applyFill="1" applyBorder="1" applyAlignment="1">
      <alignment horizontal="center" vertical="center"/>
    </xf>
    <xf numFmtId="0" fontId="27" fillId="6" borderId="1" xfId="0" applyFont="1" applyFill="1" applyBorder="1" applyAlignment="1">
      <alignment horizontal="right" vertical="center" wrapText="1"/>
    </xf>
    <xf numFmtId="164" fontId="28" fillId="6" borderId="1" xfId="2" applyFont="1" applyFill="1" applyBorder="1" applyAlignment="1">
      <alignment horizontal="right" vertical="center" wrapText="1"/>
    </xf>
    <xf numFmtId="164" fontId="27" fillId="6" borderId="1" xfId="2" applyFont="1" applyFill="1" applyBorder="1" applyAlignment="1">
      <alignment horizontal="right" vertical="center" wrapText="1"/>
    </xf>
    <xf numFmtId="164" fontId="29" fillId="6" borderId="1" xfId="2" applyFont="1" applyFill="1" applyBorder="1" applyAlignment="1">
      <alignment horizontal="right" vertical="center" wrapText="1"/>
    </xf>
    <xf numFmtId="37" fontId="27" fillId="6" borderId="1" xfId="2" applyNumberFormat="1" applyFont="1" applyFill="1" applyBorder="1" applyAlignment="1">
      <alignment horizontal="right" vertical="center" wrapText="1"/>
    </xf>
    <xf numFmtId="164" fontId="27" fillId="6" borderId="11" xfId="2" applyFont="1" applyFill="1" applyBorder="1" applyAlignment="1">
      <alignment horizontal="right" vertical="center" wrapText="1"/>
    </xf>
    <xf numFmtId="0" fontId="27" fillId="6" borderId="1" xfId="0" applyFont="1" applyFill="1" applyBorder="1" applyAlignment="1">
      <alignment horizontal="right" vertical="center"/>
    </xf>
    <xf numFmtId="0" fontId="29" fillId="6" borderId="1" xfId="0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horizontal="center" vertical="center" wrapText="1"/>
    </xf>
    <xf numFmtId="0" fontId="27" fillId="0" borderId="1" xfId="5" applyFont="1" applyFill="1" applyBorder="1" applyAlignment="1">
      <alignment horizontal="left" vertical="center" wrapText="1"/>
    </xf>
    <xf numFmtId="0" fontId="27" fillId="0" borderId="1" xfId="5" applyFont="1" applyFill="1" applyBorder="1" applyAlignment="1">
      <alignment horizontal="left" vertical="center"/>
    </xf>
    <xf numFmtId="0" fontId="27" fillId="0" borderId="1" xfId="5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/>
    </xf>
    <xf numFmtId="0" fontId="27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right" vertical="center"/>
    </xf>
    <xf numFmtId="164" fontId="27" fillId="0" borderId="1" xfId="2" applyFont="1" applyFill="1" applyBorder="1" applyAlignment="1">
      <alignment horizontal="right" vertical="center" wrapText="1"/>
    </xf>
    <xf numFmtId="37" fontId="27" fillId="0" borderId="1" xfId="2" applyNumberFormat="1" applyFont="1" applyFill="1" applyBorder="1" applyAlignment="1">
      <alignment horizontal="right" vertical="center" wrapText="1"/>
    </xf>
    <xf numFmtId="164" fontId="27" fillId="7" borderId="1" xfId="2" applyFont="1" applyFill="1" applyBorder="1" applyAlignment="1">
      <alignment horizontal="right" vertical="center" wrapText="1"/>
    </xf>
    <xf numFmtId="164" fontId="27" fillId="0" borderId="11" xfId="2" applyFont="1" applyFill="1" applyBorder="1" applyAlignment="1">
      <alignment horizontal="right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quotePrefix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right" vertical="center"/>
    </xf>
    <xf numFmtId="0" fontId="27" fillId="3" borderId="12" xfId="0" applyFont="1" applyFill="1" applyBorder="1" applyAlignment="1">
      <alignment horizontal="center" vertical="center" wrapText="1"/>
    </xf>
    <xf numFmtId="0" fontId="27" fillId="3" borderId="13" xfId="0" applyFont="1" applyFill="1" applyBorder="1" applyAlignment="1">
      <alignment horizontal="left" vertical="center"/>
    </xf>
    <xf numFmtId="0" fontId="27" fillId="3" borderId="13" xfId="0" applyFont="1" applyFill="1" applyBorder="1" applyAlignment="1">
      <alignment horizontal="center" vertical="center" wrapText="1"/>
    </xf>
    <xf numFmtId="0" fontId="27" fillId="3" borderId="13" xfId="0" applyFont="1" applyFill="1" applyBorder="1" applyAlignment="1">
      <alignment horizontal="center" vertical="center"/>
    </xf>
    <xf numFmtId="3" fontId="27" fillId="3" borderId="13" xfId="0" applyNumberFormat="1" applyFont="1" applyFill="1" applyBorder="1" applyAlignment="1">
      <alignment horizontal="right" vertical="center"/>
    </xf>
    <xf numFmtId="164" fontId="28" fillId="3" borderId="13" xfId="2" applyFont="1" applyFill="1" applyBorder="1" applyAlignment="1">
      <alignment horizontal="right" vertical="center" wrapText="1"/>
    </xf>
    <xf numFmtId="164" fontId="27" fillId="3" borderId="13" xfId="2" applyFont="1" applyFill="1" applyBorder="1" applyAlignment="1">
      <alignment horizontal="right" vertical="center"/>
    </xf>
    <xf numFmtId="37" fontId="27" fillId="3" borderId="13" xfId="2" applyNumberFormat="1" applyFont="1" applyFill="1" applyBorder="1" applyAlignment="1">
      <alignment horizontal="right" vertical="center"/>
    </xf>
    <xf numFmtId="164" fontId="27" fillId="3" borderId="14" xfId="2" applyFont="1" applyFill="1" applyBorder="1" applyAlignment="1">
      <alignment horizontal="right" vertical="center"/>
    </xf>
    <xf numFmtId="170" fontId="0" fillId="0" borderId="0" xfId="0" applyNumberFormat="1">
      <alignment vertical="center"/>
    </xf>
    <xf numFmtId="0" fontId="30" fillId="10" borderId="1" xfId="0" applyFont="1" applyFill="1" applyBorder="1" applyAlignment="1">
      <alignment horizontal="right" vertical="top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32" fillId="0" borderId="1" xfId="0" applyFont="1" applyBorder="1" applyAlignment="1">
      <alignment horizontal="right" vertical="center"/>
    </xf>
    <xf numFmtId="0" fontId="29" fillId="10" borderId="1" xfId="0" applyFont="1" applyFill="1" applyBorder="1" applyAlignment="1">
      <alignment horizontal="right" vertical="center"/>
    </xf>
    <xf numFmtId="0" fontId="29" fillId="10" borderId="1" xfId="0" applyFont="1" applyFill="1" applyBorder="1" applyAlignment="1">
      <alignment horizontal="right" vertical="center" wrapText="1"/>
    </xf>
    <xf numFmtId="0" fontId="32" fillId="0" borderId="0" xfId="0" applyFont="1">
      <alignment vertical="center"/>
    </xf>
    <xf numFmtId="0" fontId="12" fillId="9" borderId="0" xfId="3" applyFont="1" applyFill="1" applyAlignment="1" applyProtection="1">
      <alignment horizontal="right" vertical="center"/>
    </xf>
    <xf numFmtId="0" fontId="9" fillId="0" borderId="0" xfId="0" applyFont="1" applyFill="1" applyAlignment="1">
      <alignment horizontal="left" vertical="top" wrapText="1"/>
    </xf>
    <xf numFmtId="0" fontId="12" fillId="8" borderId="0" xfId="3" applyFont="1" applyFill="1" applyAlignment="1" applyProtection="1">
      <alignment horizontal="right" vertical="center"/>
    </xf>
    <xf numFmtId="167" fontId="6" fillId="0" borderId="0" xfId="0" applyNumberFormat="1" applyFont="1" applyBorder="1" applyAlignment="1">
      <alignment horizontal="left"/>
    </xf>
    <xf numFmtId="0" fontId="21" fillId="3" borderId="6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 wrapText="1"/>
    </xf>
    <xf numFmtId="3" fontId="15" fillId="0" borderId="0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22" fontId="19" fillId="0" borderId="0" xfId="0" applyNumberFormat="1" applyFont="1" applyBorder="1" applyAlignment="1">
      <alignment horizontal="center" vertical="center"/>
    </xf>
    <xf numFmtId="164" fontId="9" fillId="4" borderId="0" xfId="2" applyFont="1" applyFill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6">
    <cellStyle name="Comma" xfId="1" builtinId="3"/>
    <cellStyle name="Comma [0]" xfId="2" builtinId="6"/>
    <cellStyle name="Normal" xfId="0" builtinId="0"/>
    <cellStyle name="Normal 2" xfId="3"/>
    <cellStyle name="Normal 2 2" xfId="4"/>
    <cellStyle name="Normal 3" xfId="5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AP33"/>
  <sheetViews>
    <sheetView showGridLines="0" tabSelected="1" zoomScale="60" zoomScaleNormal="60" zoomScaleSheetLayoutView="70" workbookViewId="0">
      <selection activeCell="N28" sqref="N28"/>
    </sheetView>
  </sheetViews>
  <sheetFormatPr defaultColWidth="10" defaultRowHeight="15"/>
  <cols>
    <col min="2" max="2" width="4.7109375" customWidth="1"/>
    <col min="3" max="3" width="15.140625" customWidth="1"/>
    <col min="4" max="4" width="16.28515625" customWidth="1"/>
    <col min="5" max="5" width="26.42578125" customWidth="1"/>
    <col min="6" max="6" width="11.5703125" customWidth="1"/>
    <col min="7" max="7" width="10.28515625" customWidth="1"/>
    <col min="8" max="8" width="14.7109375" customWidth="1"/>
    <col min="9" max="9" width="11.140625" customWidth="1"/>
    <col min="10" max="10" width="15.7109375" customWidth="1"/>
    <col min="11" max="11" width="11.7109375" customWidth="1"/>
    <col min="15" max="15" width="9.85546875" customWidth="1"/>
    <col min="16" max="16" width="13.7109375" customWidth="1"/>
    <col min="17" max="17" width="18.5703125" customWidth="1"/>
    <col min="18" max="18" width="16.140625" customWidth="1"/>
    <col min="19" max="19" width="14.42578125" customWidth="1"/>
    <col min="20" max="20" width="17.140625" customWidth="1"/>
    <col min="21" max="21" width="16.85546875" customWidth="1"/>
    <col min="22" max="22" width="19.140625" customWidth="1"/>
    <col min="23" max="23" width="17.5703125" customWidth="1"/>
    <col min="24" max="24" width="14.42578125" customWidth="1"/>
    <col min="25" max="25" width="21.5703125" customWidth="1"/>
    <col min="26" max="26" width="4.85546875" customWidth="1"/>
    <col min="27" max="27" width="3.7109375" customWidth="1"/>
    <col min="28" max="28" width="5.5703125" customWidth="1"/>
    <col min="29" max="29" width="3.28515625" customWidth="1"/>
    <col min="33" max="33" width="10.140625" customWidth="1"/>
    <col min="37" max="37" width="15.85546875" customWidth="1"/>
    <col min="38" max="38" width="13" customWidth="1"/>
    <col min="40" max="40" width="10.85546875" customWidth="1"/>
    <col min="42" max="42" width="14.28515625" customWidth="1"/>
  </cols>
  <sheetData>
    <row r="1" spans="1:42" ht="15.75"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</row>
    <row r="2" spans="1:42" ht="26.25">
      <c r="A2" s="37"/>
      <c r="B2" s="38" t="s">
        <v>0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</row>
    <row r="3" spans="1:42" ht="27" thickBot="1">
      <c r="A3" s="37"/>
      <c r="B3" s="152">
        <v>45839</v>
      </c>
      <c r="C3" s="152"/>
      <c r="D3" s="152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</row>
    <row r="4" spans="1:42" ht="60">
      <c r="A4" s="37"/>
      <c r="B4" s="101" t="s">
        <v>1</v>
      </c>
      <c r="C4" s="102" t="s">
        <v>2</v>
      </c>
      <c r="D4" s="103" t="s">
        <v>3</v>
      </c>
      <c r="E4" s="102" t="s">
        <v>4</v>
      </c>
      <c r="F4" s="102" t="s">
        <v>5</v>
      </c>
      <c r="G4" s="102" t="s">
        <v>6</v>
      </c>
      <c r="H4" s="102" t="s">
        <v>7</v>
      </c>
      <c r="I4" s="102" t="s">
        <v>8</v>
      </c>
      <c r="J4" s="102" t="s">
        <v>9</v>
      </c>
      <c r="K4" s="102" t="s">
        <v>10</v>
      </c>
      <c r="L4" s="102" t="s">
        <v>11</v>
      </c>
      <c r="M4" s="102" t="s">
        <v>12</v>
      </c>
      <c r="N4" s="102" t="s">
        <v>13</v>
      </c>
      <c r="O4" s="102" t="s">
        <v>14</v>
      </c>
      <c r="P4" s="102" t="s">
        <v>15</v>
      </c>
      <c r="Q4" s="102" t="s">
        <v>16</v>
      </c>
      <c r="R4" s="102" t="s">
        <v>4</v>
      </c>
      <c r="S4" s="102" t="s">
        <v>5</v>
      </c>
      <c r="T4" s="102" t="s">
        <v>6</v>
      </c>
      <c r="U4" s="102" t="s">
        <v>17</v>
      </c>
      <c r="V4" s="102" t="s">
        <v>18</v>
      </c>
      <c r="W4" s="102" t="s">
        <v>19</v>
      </c>
      <c r="X4" s="102" t="s">
        <v>20</v>
      </c>
      <c r="Y4" s="104" t="s">
        <v>21</v>
      </c>
      <c r="Z4" s="77"/>
      <c r="AA4" s="77"/>
      <c r="AB4" s="77"/>
      <c r="AC4" s="77"/>
      <c r="AD4" s="78" t="s">
        <v>21</v>
      </c>
      <c r="AE4" s="79" t="s">
        <v>22</v>
      </c>
      <c r="AF4" s="79" t="s">
        <v>23</v>
      </c>
      <c r="AG4" s="83" t="s">
        <v>21</v>
      </c>
      <c r="AH4" s="153" t="s">
        <v>22</v>
      </c>
      <c r="AI4" s="154"/>
      <c r="AK4" s="1" t="s">
        <v>24</v>
      </c>
    </row>
    <row r="5" spans="1:42" s="34" customFormat="1" ht="46.5" customHeight="1">
      <c r="A5" s="39"/>
      <c r="B5" s="105">
        <v>1</v>
      </c>
      <c r="C5" s="106" t="s">
        <v>25</v>
      </c>
      <c r="D5" s="106" t="s">
        <v>26</v>
      </c>
      <c r="E5" s="107" t="s">
        <v>88</v>
      </c>
      <c r="F5" s="107"/>
      <c r="G5" s="107"/>
      <c r="H5" s="107"/>
      <c r="I5" s="108" t="s">
        <v>27</v>
      </c>
      <c r="J5" s="107">
        <v>1</v>
      </c>
      <c r="K5" s="107"/>
      <c r="L5" s="109"/>
      <c r="M5" s="109">
        <v>30</v>
      </c>
      <c r="N5" s="145"/>
      <c r="O5" s="109"/>
      <c r="P5" s="110">
        <f>SUM(L5:O5)</f>
        <v>30</v>
      </c>
      <c r="Q5" s="111">
        <f>((data!$A$3/8)*L5)+((data!$B$3/8)*(M5+N5+O5))+(P5*$E$23)</f>
        <v>127500</v>
      </c>
      <c r="R5" s="111">
        <f t="shared" ref="R5:R16" si="0">IF(D5="Percobaan",0,IF(AND(E5="",G5&gt;0,H5="ok"),100000,IF(AND(E5="",G5&gt;0,H5=""),50000,IF(AND(E5=""),100000,0))))</f>
        <v>0</v>
      </c>
      <c r="S5" s="111">
        <f t="shared" ref="S5:S15" si="1">((P5/8)*1000)</f>
        <v>3750</v>
      </c>
      <c r="T5" s="112">
        <f t="shared" ref="T5:T16" si="2">IF(AND(G5&gt;0,H5=""),50000,IF(AND(G5&gt;0,H5="ok"),G5*50000,0))</f>
        <v>0</v>
      </c>
      <c r="U5" s="111">
        <f t="shared" ref="U5:U16" si="3">IF(OR(D5="Percobaan",D5=""),0,IF(I5="+",P5/8*3000,IF(I5="-",0,P5/8*2000)))</f>
        <v>0</v>
      </c>
      <c r="V5" s="113">
        <f>J5*-12500</f>
        <v>-12500</v>
      </c>
      <c r="W5" s="111">
        <f t="shared" ref="W5:W16" si="4">IF(K5="ok",50000+AA5,0+AA5)</f>
        <v>0</v>
      </c>
      <c r="X5" s="111"/>
      <c r="Y5" s="114">
        <f>CEILING(SUM(Q5:X5),500)</f>
        <v>119000</v>
      </c>
      <c r="Z5" s="77"/>
      <c r="AA5" s="77"/>
      <c r="AB5" s="77"/>
      <c r="AC5" s="77"/>
      <c r="AD5" s="35">
        <f t="shared" ref="AD5:AD15" si="5">P5/8</f>
        <v>3.75</v>
      </c>
      <c r="AE5" s="77"/>
      <c r="AF5" s="77">
        <f t="shared" ref="AF5:AF10" si="6">AD5-AE5</f>
        <v>3.75</v>
      </c>
      <c r="AG5" s="77">
        <f>AD5+AI5</f>
        <v>14.75</v>
      </c>
      <c r="AH5" s="84">
        <v>88</v>
      </c>
      <c r="AI5" s="77">
        <f>AH5/8</f>
        <v>11</v>
      </c>
      <c r="AK5" s="85">
        <v>1037500</v>
      </c>
      <c r="AL5" s="34" t="str">
        <f>C5</f>
        <v>Alfred</v>
      </c>
      <c r="AN5" s="86"/>
      <c r="AO5" s="34">
        <f>AN5*AM5</f>
        <v>0</v>
      </c>
    </row>
    <row r="6" spans="1:42" s="34" customFormat="1" ht="44.25" customHeight="1">
      <c r="A6" s="39"/>
      <c r="B6" s="105">
        <v>2</v>
      </c>
      <c r="C6" s="107" t="s">
        <v>28</v>
      </c>
      <c r="D6" s="106" t="s">
        <v>3</v>
      </c>
      <c r="E6" s="107" t="s">
        <v>89</v>
      </c>
      <c r="F6" s="106"/>
      <c r="G6" s="106">
        <v>1</v>
      </c>
      <c r="H6" s="106"/>
      <c r="I6" s="108" t="s">
        <v>27</v>
      </c>
      <c r="J6" s="107">
        <v>1</v>
      </c>
      <c r="K6" s="106"/>
      <c r="L6" s="146">
        <v>60</v>
      </c>
      <c r="M6" s="145">
        <v>92</v>
      </c>
      <c r="N6" s="145">
        <v>24</v>
      </c>
      <c r="O6" s="115"/>
      <c r="P6" s="110">
        <f t="shared" ref="P6:P14" si="7">SUM(L6:O6)</f>
        <v>176</v>
      </c>
      <c r="Q6" s="111">
        <f>((data!$A$3/8)*L6)+((data!$B$3/8)*(M6+N6+O6))+(P6*$E$23)</f>
        <v>755500</v>
      </c>
      <c r="R6" s="111">
        <f t="shared" si="0"/>
        <v>0</v>
      </c>
      <c r="S6" s="111">
        <f t="shared" si="1"/>
        <v>22000</v>
      </c>
      <c r="T6" s="112">
        <f t="shared" si="2"/>
        <v>50000</v>
      </c>
      <c r="U6" s="111">
        <f t="shared" si="3"/>
        <v>0</v>
      </c>
      <c r="V6" s="113">
        <f t="shared" ref="V6:V14" si="8">J6*-12500</f>
        <v>-12500</v>
      </c>
      <c r="W6" s="111">
        <f t="shared" si="4"/>
        <v>0</v>
      </c>
      <c r="X6" s="111"/>
      <c r="Y6" s="114">
        <f t="shared" ref="Y6" si="9">CEILING(SUM(Q6:X6),500)</f>
        <v>815000</v>
      </c>
      <c r="Z6" s="77"/>
      <c r="AA6" s="77"/>
      <c r="AB6" s="77"/>
      <c r="AC6" s="77"/>
      <c r="AD6" s="35">
        <f t="shared" si="5"/>
        <v>22</v>
      </c>
      <c r="AE6" s="77"/>
      <c r="AF6" s="77"/>
      <c r="AG6" s="77"/>
      <c r="AH6" s="84"/>
      <c r="AI6" s="77"/>
      <c r="AK6" s="85"/>
      <c r="AN6" s="86"/>
    </row>
    <row r="7" spans="1:42" s="34" customFormat="1" ht="26.1" customHeight="1">
      <c r="A7" s="39"/>
      <c r="B7" s="105">
        <v>3</v>
      </c>
      <c r="C7" s="107" t="s">
        <v>31</v>
      </c>
      <c r="D7" s="106" t="s">
        <v>3</v>
      </c>
      <c r="E7" s="107"/>
      <c r="F7" s="106"/>
      <c r="G7" s="106">
        <v>1</v>
      </c>
      <c r="H7" s="106"/>
      <c r="I7" s="108" t="s">
        <v>27</v>
      </c>
      <c r="J7" s="107">
        <v>1</v>
      </c>
      <c r="K7" s="106" t="s">
        <v>32</v>
      </c>
      <c r="L7" s="145">
        <v>35</v>
      </c>
      <c r="M7" s="115">
        <v>6</v>
      </c>
      <c r="N7" s="148">
        <v>52</v>
      </c>
      <c r="O7" s="115">
        <v>96</v>
      </c>
      <c r="P7" s="110">
        <f t="shared" si="7"/>
        <v>189</v>
      </c>
      <c r="Q7" s="111">
        <f>((data!$A$3/8)*L7)+((data!$B$3/8)*(M7+N7+O7))+(P7*$E$23)</f>
        <v>807625</v>
      </c>
      <c r="R7" s="111">
        <f t="shared" si="0"/>
        <v>50000</v>
      </c>
      <c r="S7" s="111">
        <f t="shared" si="1"/>
        <v>23625</v>
      </c>
      <c r="T7" s="112">
        <f t="shared" si="2"/>
        <v>50000</v>
      </c>
      <c r="U7" s="111">
        <f t="shared" si="3"/>
        <v>0</v>
      </c>
      <c r="V7" s="113">
        <f t="shared" si="8"/>
        <v>-12500</v>
      </c>
      <c r="W7" s="111">
        <f t="shared" si="4"/>
        <v>50000</v>
      </c>
      <c r="X7" s="111"/>
      <c r="Y7" s="114">
        <f t="shared" ref="Y7:Y16" si="10">CEILING(SUM(Q7:X7),500)</f>
        <v>969000</v>
      </c>
      <c r="Z7" s="77"/>
      <c r="AA7" s="77"/>
      <c r="AB7" s="77"/>
      <c r="AC7" s="77"/>
      <c r="AD7" s="35">
        <f t="shared" si="5"/>
        <v>23.625</v>
      </c>
      <c r="AE7" s="77"/>
      <c r="AF7" s="77">
        <f t="shared" si="6"/>
        <v>23.625</v>
      </c>
      <c r="AG7" s="77">
        <f t="shared" ref="AG7:AG14" si="11">AD7+AI7</f>
        <v>26.625</v>
      </c>
      <c r="AH7" s="87">
        <v>24</v>
      </c>
      <c r="AI7" s="77">
        <f t="shared" ref="AI7:AI14" si="12">AH7/8</f>
        <v>3</v>
      </c>
      <c r="AK7" s="85">
        <v>610500</v>
      </c>
      <c r="AL7" s="34" t="str">
        <f t="shared" ref="AL7:AL16" si="13">C7</f>
        <v>Gilang</v>
      </c>
      <c r="AN7" s="86"/>
      <c r="AO7" s="34">
        <f t="shared" ref="AO7:AO15" si="14">AN7*AM7</f>
        <v>0</v>
      </c>
    </row>
    <row r="8" spans="1:42" s="34" customFormat="1" ht="27" customHeight="1">
      <c r="A8" s="39"/>
      <c r="B8" s="105">
        <v>4</v>
      </c>
      <c r="C8" s="106" t="s">
        <v>33</v>
      </c>
      <c r="D8" s="106" t="s">
        <v>3</v>
      </c>
      <c r="E8" s="107" t="s">
        <v>88</v>
      </c>
      <c r="F8" s="106"/>
      <c r="G8" s="106"/>
      <c r="H8" s="106"/>
      <c r="I8" s="108" t="s">
        <v>27</v>
      </c>
      <c r="J8" s="107">
        <v>1</v>
      </c>
      <c r="K8" s="106"/>
      <c r="L8" s="115">
        <v>3</v>
      </c>
      <c r="M8" s="115">
        <v>9</v>
      </c>
      <c r="N8" s="148">
        <v>113</v>
      </c>
      <c r="O8" s="115"/>
      <c r="P8" s="110">
        <f t="shared" si="7"/>
        <v>125</v>
      </c>
      <c r="Q8" s="111">
        <f>((data!$A$3/8)*L8)+((data!$B$3/8)*(M8+N8+O8))+(P8*$E$23)</f>
        <v>531625</v>
      </c>
      <c r="R8" s="111">
        <f t="shared" si="0"/>
        <v>0</v>
      </c>
      <c r="S8" s="111">
        <f t="shared" si="1"/>
        <v>15625</v>
      </c>
      <c r="T8" s="112">
        <f t="shared" si="2"/>
        <v>0</v>
      </c>
      <c r="U8" s="111">
        <f t="shared" si="3"/>
        <v>0</v>
      </c>
      <c r="V8" s="113">
        <f t="shared" si="8"/>
        <v>-12500</v>
      </c>
      <c r="W8" s="111">
        <f t="shared" si="4"/>
        <v>0</v>
      </c>
      <c r="X8" s="111"/>
      <c r="Y8" s="114">
        <f t="shared" si="10"/>
        <v>535000</v>
      </c>
      <c r="Z8" s="77"/>
      <c r="AA8" s="77"/>
      <c r="AB8" s="77"/>
      <c r="AC8" s="77"/>
      <c r="AD8" s="35">
        <f t="shared" si="5"/>
        <v>15.625</v>
      </c>
      <c r="AE8" s="77"/>
      <c r="AF8" s="77">
        <f t="shared" si="6"/>
        <v>15.625</v>
      </c>
      <c r="AG8" s="77">
        <f t="shared" si="11"/>
        <v>15.625</v>
      </c>
      <c r="AH8" s="87"/>
      <c r="AI8" s="77">
        <f t="shared" si="12"/>
        <v>0</v>
      </c>
      <c r="AK8" s="85">
        <v>637500</v>
      </c>
      <c r="AL8" s="34" t="str">
        <f t="shared" si="13"/>
        <v>Hafis</v>
      </c>
      <c r="AN8" s="86"/>
      <c r="AO8" s="34">
        <f t="shared" si="14"/>
        <v>0</v>
      </c>
    </row>
    <row r="9" spans="1:42" s="35" customFormat="1" ht="25.5" customHeight="1">
      <c r="A9" s="40"/>
      <c r="B9" s="105">
        <v>5</v>
      </c>
      <c r="C9" s="106" t="s">
        <v>34</v>
      </c>
      <c r="D9" s="106" t="s">
        <v>3</v>
      </c>
      <c r="E9" s="107"/>
      <c r="F9" s="106" t="s">
        <v>87</v>
      </c>
      <c r="G9" s="106">
        <v>4</v>
      </c>
      <c r="H9" s="106" t="s">
        <v>32</v>
      </c>
      <c r="I9" s="108" t="s">
        <v>30</v>
      </c>
      <c r="J9" s="107">
        <v>1</v>
      </c>
      <c r="K9" s="106" t="s">
        <v>32</v>
      </c>
      <c r="L9" s="115">
        <v>2</v>
      </c>
      <c r="M9" s="148">
        <v>184</v>
      </c>
      <c r="N9" s="115">
        <v>70</v>
      </c>
      <c r="O9" s="115"/>
      <c r="P9" s="110">
        <f t="shared" si="7"/>
        <v>256</v>
      </c>
      <c r="Q9" s="111">
        <f>((data!$A$3/8)*L9)+((data!$B$3/8)*(M9+N9+O9))+(P9*$E$23)</f>
        <v>1088250</v>
      </c>
      <c r="R9" s="111">
        <f t="shared" si="0"/>
        <v>100000</v>
      </c>
      <c r="S9" s="111">
        <f t="shared" si="1"/>
        <v>32000</v>
      </c>
      <c r="T9" s="112">
        <f t="shared" si="2"/>
        <v>200000</v>
      </c>
      <c r="U9" s="111">
        <f t="shared" si="3"/>
        <v>96000</v>
      </c>
      <c r="V9" s="113">
        <f t="shared" si="8"/>
        <v>-12500</v>
      </c>
      <c r="W9" s="111">
        <f t="shared" si="4"/>
        <v>50000</v>
      </c>
      <c r="X9" s="111"/>
      <c r="Y9" s="114">
        <f t="shared" si="10"/>
        <v>1554000</v>
      </c>
      <c r="Z9" s="77"/>
      <c r="AA9" s="77"/>
      <c r="AB9" s="77"/>
      <c r="AC9" s="77"/>
      <c r="AD9" s="35">
        <f t="shared" si="5"/>
        <v>32</v>
      </c>
      <c r="AE9" s="77"/>
      <c r="AF9" s="77">
        <f t="shared" si="6"/>
        <v>32</v>
      </c>
      <c r="AG9" s="77">
        <f t="shared" si="11"/>
        <v>34</v>
      </c>
      <c r="AH9" s="87">
        <v>16</v>
      </c>
      <c r="AI9" s="77">
        <f t="shared" si="12"/>
        <v>2</v>
      </c>
      <c r="AJ9" s="77"/>
      <c r="AK9" s="88">
        <v>398500</v>
      </c>
      <c r="AL9" s="77" t="str">
        <f t="shared" si="13"/>
        <v>Henbediona</v>
      </c>
      <c r="AM9" s="77"/>
      <c r="AN9" s="89"/>
      <c r="AO9" s="77">
        <f t="shared" si="14"/>
        <v>0</v>
      </c>
      <c r="AP9" s="77"/>
    </row>
    <row r="10" spans="1:42" s="34" customFormat="1" ht="44.25" customHeight="1">
      <c r="A10" s="39"/>
      <c r="B10" s="105">
        <v>6</v>
      </c>
      <c r="C10" s="107" t="s">
        <v>35</v>
      </c>
      <c r="D10" s="106" t="s">
        <v>26</v>
      </c>
      <c r="E10" s="107" t="s">
        <v>90</v>
      </c>
      <c r="F10" s="106" t="s">
        <v>87</v>
      </c>
      <c r="G10" s="106"/>
      <c r="H10" s="106"/>
      <c r="I10" s="108" t="s">
        <v>27</v>
      </c>
      <c r="J10" s="107">
        <v>1</v>
      </c>
      <c r="K10" s="106"/>
      <c r="L10" s="145">
        <v>85</v>
      </c>
      <c r="M10" s="115">
        <v>1</v>
      </c>
      <c r="N10" s="148">
        <v>120</v>
      </c>
      <c r="O10" s="115"/>
      <c r="P10" s="110">
        <f t="shared" si="7"/>
        <v>206</v>
      </c>
      <c r="Q10" s="111">
        <f>((data!$A$3/8)*L10)+((data!$B$3/8)*(M10+N10+O10))+(P10*$E$23)</f>
        <v>886125</v>
      </c>
      <c r="R10" s="111">
        <f t="shared" si="0"/>
        <v>0</v>
      </c>
      <c r="S10" s="111">
        <f t="shared" si="1"/>
        <v>25750</v>
      </c>
      <c r="T10" s="112">
        <f t="shared" si="2"/>
        <v>0</v>
      </c>
      <c r="U10" s="111">
        <f t="shared" si="3"/>
        <v>0</v>
      </c>
      <c r="V10" s="113">
        <f t="shared" si="8"/>
        <v>-12500</v>
      </c>
      <c r="W10" s="111">
        <f t="shared" si="4"/>
        <v>0</v>
      </c>
      <c r="X10" s="112"/>
      <c r="Y10" s="114">
        <f t="shared" si="10"/>
        <v>899500</v>
      </c>
      <c r="AD10" s="35">
        <f t="shared" si="5"/>
        <v>25.75</v>
      </c>
      <c r="AE10" s="77"/>
      <c r="AF10" s="77">
        <f t="shared" si="6"/>
        <v>25.75</v>
      </c>
      <c r="AG10" s="77">
        <f t="shared" si="11"/>
        <v>30.75</v>
      </c>
      <c r="AH10" s="87">
        <v>40</v>
      </c>
      <c r="AI10" s="77">
        <f t="shared" si="12"/>
        <v>5</v>
      </c>
      <c r="AK10" s="85">
        <v>1120500</v>
      </c>
      <c r="AL10" s="34" t="str">
        <f t="shared" si="13"/>
        <v>Ridwan</v>
      </c>
      <c r="AN10" s="86"/>
      <c r="AO10" s="34">
        <f t="shared" si="14"/>
        <v>0</v>
      </c>
    </row>
    <row r="11" spans="1:42" s="36" customFormat="1" ht="26.1" customHeight="1">
      <c r="A11" s="41"/>
      <c r="B11" s="105">
        <v>7</v>
      </c>
      <c r="C11" s="107" t="s">
        <v>36</v>
      </c>
      <c r="D11" s="106" t="s">
        <v>3</v>
      </c>
      <c r="E11" s="107"/>
      <c r="F11" s="106"/>
      <c r="G11" s="106">
        <v>2</v>
      </c>
      <c r="H11" s="106" t="s">
        <v>32</v>
      </c>
      <c r="I11" s="108" t="s">
        <v>30</v>
      </c>
      <c r="J11" s="107">
        <v>1</v>
      </c>
      <c r="K11" s="106" t="s">
        <v>32</v>
      </c>
      <c r="L11" s="148">
        <v>135</v>
      </c>
      <c r="M11" s="145">
        <v>11</v>
      </c>
      <c r="N11" s="146">
        <v>55</v>
      </c>
      <c r="O11" s="142">
        <v>32</v>
      </c>
      <c r="P11" s="110">
        <f t="shared" si="7"/>
        <v>233</v>
      </c>
      <c r="Q11" s="111">
        <f>((data!$A$3/8)*L11)+((data!$B$3/8)*(M11+N11+O11))+(P11*$E$23)</f>
        <v>1007125</v>
      </c>
      <c r="R11" s="111">
        <f t="shared" si="0"/>
        <v>100000</v>
      </c>
      <c r="S11" s="111">
        <f t="shared" si="1"/>
        <v>29125</v>
      </c>
      <c r="T11" s="112">
        <f t="shared" si="2"/>
        <v>100000</v>
      </c>
      <c r="U11" s="111">
        <f t="shared" si="3"/>
        <v>87375</v>
      </c>
      <c r="V11" s="113">
        <f t="shared" si="8"/>
        <v>-12500</v>
      </c>
      <c r="W11" s="111">
        <f t="shared" si="4"/>
        <v>50000</v>
      </c>
      <c r="X11" s="111"/>
      <c r="Y11" s="114">
        <f t="shared" si="10"/>
        <v>1361500</v>
      </c>
      <c r="AD11" s="35">
        <f t="shared" si="5"/>
        <v>29.125</v>
      </c>
      <c r="AE11" s="77"/>
      <c r="AF11" s="80">
        <f t="shared" ref="AF11:AF14" si="15">AD11-AE11</f>
        <v>29.125</v>
      </c>
      <c r="AG11" s="77">
        <f t="shared" si="11"/>
        <v>29.125</v>
      </c>
      <c r="AH11" s="90"/>
      <c r="AI11" s="77">
        <f t="shared" si="12"/>
        <v>0</v>
      </c>
      <c r="AK11" s="85">
        <v>1195000</v>
      </c>
      <c r="AL11" s="36" t="str">
        <f t="shared" si="13"/>
        <v>riniroma</v>
      </c>
      <c r="AN11" s="91"/>
      <c r="AO11" s="36">
        <f t="shared" si="14"/>
        <v>0</v>
      </c>
    </row>
    <row r="12" spans="1:42" s="34" customFormat="1" ht="26.1" customHeight="1">
      <c r="A12" s="39"/>
      <c r="B12" s="105">
        <v>8</v>
      </c>
      <c r="C12" s="107" t="s">
        <v>37</v>
      </c>
      <c r="D12" s="106" t="s">
        <v>3</v>
      </c>
      <c r="E12" s="107"/>
      <c r="F12" s="106"/>
      <c r="G12" s="106">
        <v>1</v>
      </c>
      <c r="H12" s="106"/>
      <c r="I12" s="108" t="s">
        <v>27</v>
      </c>
      <c r="J12" s="107">
        <v>1</v>
      </c>
      <c r="K12" s="106"/>
      <c r="L12" s="115"/>
      <c r="M12" s="148">
        <v>108</v>
      </c>
      <c r="N12" s="115">
        <v>17</v>
      </c>
      <c r="O12" s="115">
        <v>48</v>
      </c>
      <c r="P12" s="110">
        <f t="shared" si="7"/>
        <v>173</v>
      </c>
      <c r="Q12" s="111">
        <f>((data!$A$3/8)*L12)+((data!$B$3/8)*(M12+N12+O12))+(P12*$E$23)</f>
        <v>735250</v>
      </c>
      <c r="R12" s="111">
        <f t="shared" si="0"/>
        <v>50000</v>
      </c>
      <c r="S12" s="111">
        <f t="shared" si="1"/>
        <v>21625</v>
      </c>
      <c r="T12" s="112">
        <f t="shared" si="2"/>
        <v>50000</v>
      </c>
      <c r="U12" s="111">
        <f t="shared" si="3"/>
        <v>0</v>
      </c>
      <c r="V12" s="113">
        <f t="shared" si="8"/>
        <v>-12500</v>
      </c>
      <c r="W12" s="111">
        <f t="shared" si="4"/>
        <v>0</v>
      </c>
      <c r="X12" s="111"/>
      <c r="Y12" s="114">
        <f t="shared" si="10"/>
        <v>844500</v>
      </c>
      <c r="AD12" s="35">
        <f t="shared" si="5"/>
        <v>21.625</v>
      </c>
      <c r="AE12" s="77"/>
      <c r="AF12" s="77">
        <f t="shared" si="15"/>
        <v>21.625</v>
      </c>
      <c r="AG12" s="77">
        <f t="shared" si="11"/>
        <v>21.625</v>
      </c>
      <c r="AH12" s="87"/>
      <c r="AI12" s="77">
        <f t="shared" si="12"/>
        <v>0</v>
      </c>
      <c r="AK12" s="85">
        <v>969000</v>
      </c>
      <c r="AL12" s="34" t="str">
        <f t="shared" si="13"/>
        <v>Ronald</v>
      </c>
      <c r="AN12" s="86"/>
      <c r="AO12" s="34">
        <f t="shared" si="14"/>
        <v>0</v>
      </c>
    </row>
    <row r="13" spans="1:42" s="34" customFormat="1" ht="33" customHeight="1">
      <c r="A13" s="39"/>
      <c r="B13" s="105">
        <v>9</v>
      </c>
      <c r="C13" s="107" t="s">
        <v>38</v>
      </c>
      <c r="D13" s="106" t="s">
        <v>26</v>
      </c>
      <c r="E13" s="107" t="s">
        <v>88</v>
      </c>
      <c r="F13" s="106" t="s">
        <v>87</v>
      </c>
      <c r="G13" s="106"/>
      <c r="H13" s="106"/>
      <c r="I13" s="108" t="s">
        <v>30</v>
      </c>
      <c r="J13" s="107">
        <v>1</v>
      </c>
      <c r="K13" s="106"/>
      <c r="L13" s="148">
        <v>176</v>
      </c>
      <c r="M13" s="115">
        <v>10</v>
      </c>
      <c r="N13" s="115">
        <v>37</v>
      </c>
      <c r="O13" s="115"/>
      <c r="P13" s="110">
        <f t="shared" si="7"/>
        <v>223</v>
      </c>
      <c r="Q13" s="111">
        <f>((data!$A$3/8)*L13)+((data!$B$3/8)*(M13+N13+O13))+(P13*$E$23)</f>
        <v>969750</v>
      </c>
      <c r="R13" s="111"/>
      <c r="S13" s="111"/>
      <c r="T13" s="112"/>
      <c r="U13" s="111">
        <f t="shared" si="3"/>
        <v>0</v>
      </c>
      <c r="V13" s="113">
        <f t="shared" si="8"/>
        <v>-12500</v>
      </c>
      <c r="W13" s="111"/>
      <c r="X13" s="111"/>
      <c r="Y13" s="114">
        <f t="shared" si="10"/>
        <v>957500</v>
      </c>
      <c r="AD13" s="35">
        <f t="shared" si="5"/>
        <v>27.875</v>
      </c>
      <c r="AE13" s="77"/>
      <c r="AF13" s="77"/>
      <c r="AG13" s="77"/>
      <c r="AH13" s="87"/>
      <c r="AI13" s="77"/>
      <c r="AK13" s="85"/>
      <c r="AL13" s="34" t="str">
        <f t="shared" si="13"/>
        <v>Yoga</v>
      </c>
      <c r="AN13" s="86"/>
    </row>
    <row r="14" spans="1:42" s="34" customFormat="1" ht="26.1" customHeight="1">
      <c r="A14" s="39"/>
      <c r="B14" s="105">
        <v>10</v>
      </c>
      <c r="C14" s="107" t="s">
        <v>39</v>
      </c>
      <c r="D14" s="106" t="s">
        <v>3</v>
      </c>
      <c r="E14" s="107"/>
      <c r="F14" s="106"/>
      <c r="G14" s="106">
        <v>1</v>
      </c>
      <c r="H14" s="106"/>
      <c r="I14" s="108" t="s">
        <v>27</v>
      </c>
      <c r="J14" s="107">
        <v>1</v>
      </c>
      <c r="K14" s="106"/>
      <c r="L14" s="115"/>
      <c r="M14" s="147">
        <v>45</v>
      </c>
      <c r="N14" s="147">
        <v>8</v>
      </c>
      <c r="O14" s="116">
        <v>112</v>
      </c>
      <c r="P14" s="110">
        <f t="shared" si="7"/>
        <v>165</v>
      </c>
      <c r="Q14" s="111">
        <f>((data!$A$3/8)*L14)+((data!$B$3/8)*(M14+N14+O14))+(P14*$E$23)</f>
        <v>701250</v>
      </c>
      <c r="R14" s="111">
        <f t="shared" si="0"/>
        <v>50000</v>
      </c>
      <c r="S14" s="111">
        <f t="shared" si="1"/>
        <v>20625</v>
      </c>
      <c r="T14" s="112">
        <f t="shared" si="2"/>
        <v>50000</v>
      </c>
      <c r="U14" s="111">
        <f t="shared" si="3"/>
        <v>0</v>
      </c>
      <c r="V14" s="113">
        <f t="shared" si="8"/>
        <v>-12500</v>
      </c>
      <c r="W14" s="111">
        <f t="shared" si="4"/>
        <v>0</v>
      </c>
      <c r="X14" s="111"/>
      <c r="Y14" s="114">
        <f t="shared" si="10"/>
        <v>809500</v>
      </c>
      <c r="AD14" s="35">
        <f t="shared" si="5"/>
        <v>20.625</v>
      </c>
      <c r="AF14" s="34">
        <f t="shared" si="15"/>
        <v>20.625</v>
      </c>
      <c r="AG14" s="34">
        <f t="shared" si="11"/>
        <v>20.625</v>
      </c>
      <c r="AH14" s="92"/>
      <c r="AI14" s="34">
        <f t="shared" si="12"/>
        <v>0</v>
      </c>
      <c r="AK14" s="85">
        <v>756500</v>
      </c>
      <c r="AL14" s="34" t="str">
        <f t="shared" si="13"/>
        <v>Yulika</v>
      </c>
      <c r="AN14" s="86"/>
      <c r="AO14" s="34">
        <f t="shared" si="14"/>
        <v>0</v>
      </c>
    </row>
    <row r="15" spans="1:42" s="34" customFormat="1" ht="26.1" hidden="1" customHeight="1">
      <c r="A15" s="39"/>
      <c r="B15" s="117">
        <v>13</v>
      </c>
      <c r="C15" s="118"/>
      <c r="D15" s="119"/>
      <c r="E15" s="120"/>
      <c r="F15" s="121"/>
      <c r="G15" s="121"/>
      <c r="H15" s="121"/>
      <c r="I15" s="122"/>
      <c r="J15" s="121"/>
      <c r="K15" s="121"/>
      <c r="L15" s="96"/>
      <c r="M15" s="97"/>
      <c r="N15" s="97"/>
      <c r="O15" s="123"/>
      <c r="P15" s="110">
        <f t="shared" ref="P15:P17" si="16">SUM(L15:O15)</f>
        <v>0</v>
      </c>
      <c r="Q15" s="124">
        <f>((data!$A$3/8)*L15)+((data!$B$3/8)*(M15+N15+O15))+(P15*$E$23)</f>
        <v>0</v>
      </c>
      <c r="R15" s="124">
        <f t="shared" si="0"/>
        <v>100000</v>
      </c>
      <c r="S15" s="124">
        <f t="shared" si="1"/>
        <v>0</v>
      </c>
      <c r="T15" s="124">
        <f t="shared" si="2"/>
        <v>0</v>
      </c>
      <c r="U15" s="124">
        <f t="shared" si="3"/>
        <v>0</v>
      </c>
      <c r="V15" s="125">
        <f t="shared" ref="V7:V16" si="17">J15*-12500</f>
        <v>0</v>
      </c>
      <c r="W15" s="126">
        <f t="shared" si="4"/>
        <v>0</v>
      </c>
      <c r="X15" s="124"/>
      <c r="Y15" s="127">
        <f t="shared" si="10"/>
        <v>100000</v>
      </c>
      <c r="AD15" s="34">
        <f t="shared" si="5"/>
        <v>0</v>
      </c>
      <c r="AE15" s="34">
        <f t="shared" ref="AE15:AE16" si="18">AD15+AI15</f>
        <v>0</v>
      </c>
      <c r="AF15" s="34">
        <f t="shared" ref="AF15" si="19">AD15-AE15</f>
        <v>0</v>
      </c>
      <c r="AK15" s="85">
        <v>0</v>
      </c>
      <c r="AL15" s="34">
        <f t="shared" si="13"/>
        <v>0</v>
      </c>
      <c r="AN15" s="86"/>
      <c r="AO15" s="34">
        <f t="shared" si="14"/>
        <v>0</v>
      </c>
    </row>
    <row r="16" spans="1:42" s="34" customFormat="1" ht="26.1" hidden="1" customHeight="1">
      <c r="A16" s="39"/>
      <c r="B16" s="117">
        <v>14</v>
      </c>
      <c r="C16" s="128"/>
      <c r="D16" s="119"/>
      <c r="E16" s="129">
        <v>0</v>
      </c>
      <c r="F16" s="121"/>
      <c r="G16" s="121"/>
      <c r="H16" s="121"/>
      <c r="I16" s="130" t="s">
        <v>27</v>
      </c>
      <c r="J16" s="121"/>
      <c r="K16" s="121"/>
      <c r="L16" s="96"/>
      <c r="M16" s="96"/>
      <c r="N16" s="96"/>
      <c r="O16" s="131"/>
      <c r="P16" s="110">
        <f t="shared" si="16"/>
        <v>0</v>
      </c>
      <c r="Q16" s="124">
        <f>((data!$A$3/8)*L16)+((data!$B$3/8)*(M16+N16+O16))+(P16*$E$23)</f>
        <v>0</v>
      </c>
      <c r="R16" s="124">
        <f t="shared" si="0"/>
        <v>0</v>
      </c>
      <c r="S16" s="124">
        <v>0</v>
      </c>
      <c r="T16" s="124">
        <f t="shared" si="2"/>
        <v>0</v>
      </c>
      <c r="U16" s="124">
        <f t="shared" si="3"/>
        <v>0</v>
      </c>
      <c r="V16" s="125">
        <f t="shared" si="17"/>
        <v>0</v>
      </c>
      <c r="W16" s="126">
        <f t="shared" si="4"/>
        <v>0</v>
      </c>
      <c r="X16" s="124"/>
      <c r="Y16" s="127">
        <f t="shared" si="10"/>
        <v>0</v>
      </c>
      <c r="AE16" s="34">
        <f t="shared" si="18"/>
        <v>0</v>
      </c>
      <c r="AK16" s="85">
        <v>0</v>
      </c>
      <c r="AL16" s="34">
        <f t="shared" si="13"/>
        <v>0</v>
      </c>
    </row>
    <row r="17" spans="1:37" ht="26.1" customHeight="1" thickBot="1">
      <c r="A17" s="37"/>
      <c r="B17" s="132"/>
      <c r="C17" s="133"/>
      <c r="D17" s="133"/>
      <c r="E17" s="134"/>
      <c r="F17" s="133"/>
      <c r="G17" s="135"/>
      <c r="H17" s="135"/>
      <c r="I17" s="135"/>
      <c r="J17" s="134">
        <f>SUM(J5:J15)</f>
        <v>10</v>
      </c>
      <c r="K17" s="135"/>
      <c r="L17" s="99">
        <f>SUM(L5:L15)</f>
        <v>496</v>
      </c>
      <c r="M17" s="99">
        <f>SUM(M5:M16)</f>
        <v>496</v>
      </c>
      <c r="N17" s="99">
        <f>SUM(N5:N16)</f>
        <v>496</v>
      </c>
      <c r="O17" s="136">
        <f>SUM(O5:O15)</f>
        <v>288</v>
      </c>
      <c r="P17" s="137">
        <f t="shared" si="16"/>
        <v>1776</v>
      </c>
      <c r="Q17" s="138">
        <f t="shared" ref="Q17:Y17" si="20">SUM(Q5:Q15)</f>
        <v>7610000</v>
      </c>
      <c r="R17" s="138">
        <f t="shared" si="20"/>
        <v>450000</v>
      </c>
      <c r="S17" s="138">
        <f t="shared" si="20"/>
        <v>194125</v>
      </c>
      <c r="T17" s="138">
        <f t="shared" si="20"/>
        <v>500000</v>
      </c>
      <c r="U17" s="138">
        <f t="shared" si="20"/>
        <v>183375</v>
      </c>
      <c r="V17" s="139">
        <f t="shared" si="20"/>
        <v>-125000</v>
      </c>
      <c r="W17" s="138">
        <f t="shared" si="20"/>
        <v>150000</v>
      </c>
      <c r="X17" s="138">
        <f t="shared" si="20"/>
        <v>0</v>
      </c>
      <c r="Y17" s="140">
        <f t="shared" si="20"/>
        <v>8964500</v>
      </c>
      <c r="AH17">
        <f>SUM(AH5:AH14)</f>
        <v>168</v>
      </c>
      <c r="AI17">
        <f>SUM(AI5:AI14)</f>
        <v>21</v>
      </c>
      <c r="AK17" s="93">
        <f>SUM(AK5:AK16)</f>
        <v>6725000</v>
      </c>
    </row>
    <row r="18" spans="1:37" ht="26.1" customHeight="1">
      <c r="A18" s="37"/>
      <c r="B18" s="42"/>
      <c r="C18" s="43"/>
      <c r="D18" s="43"/>
      <c r="E18" s="43"/>
      <c r="F18" s="43"/>
      <c r="G18" s="43"/>
      <c r="H18" s="43"/>
      <c r="I18" s="43"/>
      <c r="J18" s="43"/>
      <c r="K18" s="43"/>
      <c r="L18" s="155">
        <f>L17+M17+N17</f>
        <v>1488</v>
      </c>
      <c r="M18" s="156"/>
      <c r="N18" s="156"/>
      <c r="O18" s="64"/>
      <c r="P18" s="64"/>
      <c r="Q18" s="64"/>
      <c r="R18" s="64"/>
      <c r="S18" s="64"/>
      <c r="T18" s="64"/>
      <c r="U18" s="64"/>
      <c r="V18" s="64"/>
      <c r="W18" s="157">
        <f ca="1">NOW()</f>
        <v>45875.212477083332</v>
      </c>
      <c r="X18" s="157"/>
      <c r="Y18" s="64"/>
    </row>
    <row r="19" spans="1:37" ht="26.1" hidden="1" customHeight="1">
      <c r="A19" s="37"/>
      <c r="B19" s="42"/>
      <c r="C19" s="43"/>
      <c r="D19" s="43"/>
      <c r="E19" s="43"/>
      <c r="F19" s="43"/>
      <c r="G19" s="43"/>
      <c r="H19" s="43"/>
      <c r="I19" s="43"/>
      <c r="J19" s="43"/>
      <c r="K19" s="43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</row>
    <row r="20" spans="1:37" ht="26.1" hidden="1" customHeight="1">
      <c r="A20" s="37"/>
      <c r="B20" s="44"/>
      <c r="C20" s="44"/>
      <c r="D20" s="44"/>
      <c r="E20" s="45"/>
      <c r="F20" s="44"/>
      <c r="G20" s="46"/>
      <c r="H20" s="47"/>
      <c r="I20" s="65"/>
      <c r="J20" s="65"/>
      <c r="K20" s="42"/>
      <c r="L20" s="66">
        <f>SUM(L17:N17)</f>
        <v>1488</v>
      </c>
      <c r="M20" s="67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</row>
    <row r="21" spans="1:37" ht="26.1" hidden="1" customHeight="1">
      <c r="A21" s="37"/>
      <c r="B21" s="48"/>
      <c r="C21" s="48"/>
      <c r="D21" s="48"/>
      <c r="E21" s="48"/>
      <c r="F21" s="48"/>
      <c r="G21" s="48"/>
      <c r="H21" s="49"/>
      <c r="I21" s="49"/>
      <c r="J21" s="49"/>
      <c r="K21" s="54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</row>
    <row r="22" spans="1:37" ht="26.1" hidden="1" customHeight="1">
      <c r="A22" s="37"/>
      <c r="B22" s="50"/>
      <c r="C22" s="51"/>
      <c r="D22" s="48"/>
      <c r="E22" s="48"/>
      <c r="F22" s="48"/>
      <c r="G22" s="48"/>
      <c r="H22" s="48"/>
      <c r="I22" s="51"/>
      <c r="J22" s="48"/>
      <c r="K22" s="48"/>
      <c r="L22" s="48"/>
      <c r="M22" s="48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</row>
    <row r="23" spans="1:37" ht="26.1" customHeight="1">
      <c r="A23" s="37"/>
      <c r="B23" s="52"/>
      <c r="C23" s="52" t="s">
        <v>40</v>
      </c>
      <c r="D23" s="52"/>
      <c r="E23" s="158">
        <f>IF(L18&gt;0,data!F3/L18)</f>
        <v>0</v>
      </c>
      <c r="F23" s="158"/>
      <c r="G23" s="48"/>
      <c r="H23" s="51"/>
      <c r="I23" s="51"/>
      <c r="J23" s="69" t="s">
        <v>41</v>
      </c>
      <c r="K23" s="69"/>
      <c r="L23" s="69"/>
      <c r="M23" s="69"/>
      <c r="N23" s="69"/>
      <c r="O23" s="69"/>
      <c r="P23" s="69"/>
      <c r="Q23" s="64"/>
      <c r="R23" s="64"/>
      <c r="S23" s="64"/>
      <c r="T23" s="64"/>
      <c r="U23" s="64"/>
      <c r="V23" s="64"/>
      <c r="W23" s="64"/>
      <c r="X23" s="49"/>
      <c r="Y23" s="49"/>
    </row>
    <row r="24" spans="1:37" ht="26.1" hidden="1" customHeight="1">
      <c r="A24" s="37"/>
      <c r="B24" s="53"/>
      <c r="C24" s="53"/>
      <c r="D24" s="53"/>
      <c r="E24" s="54"/>
      <c r="F24" s="54"/>
      <c r="G24" s="48"/>
      <c r="H24" s="51"/>
      <c r="I24" s="48"/>
      <c r="J24" s="48"/>
      <c r="K24" s="70"/>
      <c r="L24" s="70"/>
      <c r="M24" s="70"/>
      <c r="N24" s="70"/>
      <c r="O24" s="71"/>
      <c r="P24" s="71"/>
      <c r="Q24" s="64"/>
      <c r="R24" s="64"/>
      <c r="S24" s="64"/>
      <c r="T24" s="64"/>
      <c r="U24" s="64"/>
      <c r="V24" s="64"/>
      <c r="W24" s="64"/>
      <c r="X24" s="49"/>
      <c r="Y24" s="49"/>
    </row>
    <row r="25" spans="1:37" ht="26.1" hidden="1" customHeight="1">
      <c r="A25" s="37"/>
      <c r="B25" s="54"/>
      <c r="C25" s="54"/>
      <c r="D25" s="54"/>
      <c r="E25" s="54"/>
      <c r="F25" s="54"/>
      <c r="G25" s="48"/>
      <c r="H25" s="51"/>
      <c r="I25" s="48"/>
      <c r="J25" s="48"/>
      <c r="K25" s="71"/>
      <c r="L25" s="71"/>
      <c r="M25" s="71"/>
      <c r="N25" s="70"/>
      <c r="O25" s="71"/>
      <c r="P25" s="71"/>
      <c r="Q25" s="64"/>
      <c r="R25" s="64"/>
      <c r="S25" s="64"/>
      <c r="T25" s="64"/>
      <c r="U25" s="64"/>
      <c r="V25" s="64"/>
      <c r="W25" s="64"/>
      <c r="X25" s="49"/>
      <c r="Y25" s="49"/>
    </row>
    <row r="26" spans="1:37" ht="26.1" customHeight="1">
      <c r="A26" s="37"/>
      <c r="B26" s="151" t="s">
        <v>42</v>
      </c>
      <c r="C26" s="151"/>
      <c r="D26" s="151"/>
      <c r="E26" s="151"/>
      <c r="F26" s="55">
        <v>2</v>
      </c>
      <c r="G26" s="48"/>
      <c r="H26" s="51"/>
      <c r="I26" s="48"/>
      <c r="J26" s="150"/>
      <c r="K26" s="150"/>
      <c r="L26" s="150"/>
      <c r="M26" s="150"/>
      <c r="N26" s="150"/>
      <c r="O26" s="150"/>
      <c r="P26" s="150"/>
      <c r="Q26" s="64"/>
      <c r="R26" s="64"/>
      <c r="S26" s="64"/>
      <c r="T26" s="64"/>
      <c r="U26" s="64"/>
      <c r="V26" s="64"/>
      <c r="W26" s="64"/>
      <c r="X26" s="74">
        <f>1.5*data!A3</f>
        <v>52500</v>
      </c>
      <c r="Y26" s="81">
        <f>X26/8</f>
        <v>6562.5</v>
      </c>
    </row>
    <row r="27" spans="1:37" ht="26.1" customHeight="1">
      <c r="A27" s="37"/>
      <c r="B27" s="151" t="s">
        <v>43</v>
      </c>
      <c r="C27" s="151"/>
      <c r="D27" s="151"/>
      <c r="E27" s="151"/>
      <c r="F27" s="56">
        <f>31*24*F26</f>
        <v>1488</v>
      </c>
      <c r="G27" s="57"/>
      <c r="H27" s="56"/>
      <c r="I27" s="57"/>
      <c r="J27" s="150"/>
      <c r="K27" s="150"/>
      <c r="L27" s="150"/>
      <c r="M27" s="150"/>
      <c r="N27" s="150"/>
      <c r="O27" s="150"/>
      <c r="P27" s="150"/>
      <c r="Q27" s="64"/>
      <c r="R27" s="64"/>
      <c r="S27" s="64"/>
      <c r="T27" s="64"/>
      <c r="U27" s="64"/>
      <c r="V27" s="64"/>
      <c r="W27" s="64"/>
      <c r="X27" s="75">
        <f>X26-data!A3</f>
        <v>17500</v>
      </c>
      <c r="Y27" s="81">
        <f>X27/8</f>
        <v>2187.5</v>
      </c>
    </row>
    <row r="28" spans="1:37" ht="26.1" customHeight="1">
      <c r="A28" s="37"/>
      <c r="B28" s="151" t="s">
        <v>44</v>
      </c>
      <c r="C28" s="151"/>
      <c r="D28" s="151"/>
      <c r="E28" s="151"/>
      <c r="F28" s="56">
        <v>0</v>
      </c>
      <c r="G28" s="57"/>
      <c r="H28" s="57"/>
      <c r="I28" s="57"/>
      <c r="J28" s="57"/>
      <c r="K28" s="71"/>
      <c r="L28" s="72"/>
      <c r="M28" s="71"/>
      <c r="N28" s="70"/>
      <c r="O28" s="71"/>
      <c r="P28" s="73"/>
      <c r="Q28" s="64"/>
      <c r="R28" s="64"/>
      <c r="S28" s="64"/>
      <c r="T28" s="64"/>
      <c r="U28" s="64"/>
      <c r="V28" s="64"/>
      <c r="W28" s="64"/>
      <c r="X28" s="49"/>
      <c r="Y28" s="49"/>
    </row>
    <row r="29" spans="1:37" ht="26.1" customHeight="1">
      <c r="A29" s="37"/>
      <c r="B29" s="151" t="s">
        <v>45</v>
      </c>
      <c r="C29" s="151"/>
      <c r="D29" s="151"/>
      <c r="E29" s="151"/>
      <c r="F29" s="58">
        <f>F27-F28</f>
        <v>1488</v>
      </c>
      <c r="G29" s="59"/>
      <c r="H29" s="59"/>
      <c r="I29" s="59"/>
      <c r="J29" s="59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49"/>
      <c r="Y29" s="49"/>
    </row>
    <row r="30" spans="1:37" ht="26.1" customHeight="1">
      <c r="A30" s="37"/>
      <c r="B30" s="149" t="s">
        <v>46</v>
      </c>
      <c r="C30" s="149"/>
      <c r="D30" s="149"/>
      <c r="E30" s="149"/>
      <c r="F30" s="60">
        <f>P17</f>
        <v>1776</v>
      </c>
      <c r="G30" s="61"/>
      <c r="H30" s="61"/>
      <c r="I30" s="61"/>
      <c r="J30" s="61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76"/>
      <c r="Y30" s="76"/>
    </row>
    <row r="31" spans="1:37" ht="26.1" customHeight="1">
      <c r="A31" s="37"/>
      <c r="B31" s="149" t="s">
        <v>47</v>
      </c>
      <c r="C31" s="149"/>
      <c r="D31" s="149"/>
      <c r="E31" s="149"/>
      <c r="F31" s="62">
        <f>-(F29-F30)</f>
        <v>288</v>
      </c>
      <c r="G31" s="63"/>
      <c r="H31" s="63"/>
      <c r="I31" s="63"/>
      <c r="J31" s="61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42"/>
      <c r="Y31" s="65"/>
    </row>
    <row r="32" spans="1:37" ht="26.1" customHeight="1">
      <c r="Y32" s="82"/>
    </row>
    <row r="33" ht="26.1" customHeight="1"/>
  </sheetData>
  <sortState ref="B5:Y17">
    <sortCondition ref="C5:C17"/>
  </sortState>
  <mergeCells count="12">
    <mergeCell ref="B3:D3"/>
    <mergeCell ref="AH4:AI4"/>
    <mergeCell ref="L18:N18"/>
    <mergeCell ref="W18:X18"/>
    <mergeCell ref="E23:F23"/>
    <mergeCell ref="B31:E31"/>
    <mergeCell ref="J26:P27"/>
    <mergeCell ref="B26:E26"/>
    <mergeCell ref="B27:E27"/>
    <mergeCell ref="B28:E28"/>
    <mergeCell ref="B29:E29"/>
    <mergeCell ref="B30:E30"/>
  </mergeCells>
  <conditionalFormatting sqref="A1">
    <cfRule type="dataBar" priority="1">
      <dataBar>
        <cfvo type="min" val="0"/>
        <cfvo type="max" val="0"/>
        <color rgb="FF638EC6"/>
      </dataBar>
      <extLst>
        <ext xmlns:x14="http://schemas.microsoft.com/office/spreadsheetml/2009/9/main" uri="{B025F937-C7B1-47D3-B67F-A62EFF666E3E}">
          <x14:id>{62CAF8B9-9115-4653-ADF7-D05B769B35AF}</x14:id>
        </ext>
      </extLst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AD5:AD16">
    <cfRule type="cellIs" dxfId="1" priority="3" operator="greaterThan">
      <formula>26</formula>
    </cfRule>
    <cfRule type="cellIs" dxfId="0" priority="4" operator="lessThan">
      <formula>24</formula>
    </cfRule>
  </conditionalFormatting>
  <pageMargins left="0.25" right="0.25" top="0.75" bottom="0.75" header="0.3" footer="0.3"/>
  <pageSetup paperSize="512" scale="11" fitToHeight="0" orientation="landscape" r:id="rId1"/>
  <ignoredErrors>
    <ignoredError sqref="P17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2CAF8B9-9115-4653-ADF7-D05B769B35A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D5:J21"/>
  <sheetViews>
    <sheetView showGridLines="0" workbookViewId="0">
      <selection activeCell="E17" sqref="E17:E21"/>
    </sheetView>
  </sheetViews>
  <sheetFormatPr defaultColWidth="9" defaultRowHeight="15"/>
  <cols>
    <col min="3" max="3" width="3.42578125" customWidth="1"/>
    <col min="4" max="4" width="9.28515625" customWidth="1"/>
    <col min="5" max="5" width="24.28515625" customWidth="1"/>
    <col min="6" max="6" width="13" customWidth="1"/>
    <col min="7" max="7" width="18.42578125" customWidth="1"/>
  </cols>
  <sheetData>
    <row r="5" spans="4:10">
      <c r="D5" s="159" t="s">
        <v>53</v>
      </c>
      <c r="E5" s="160"/>
      <c r="F5" s="160"/>
      <c r="G5" s="161"/>
    </row>
    <row r="6" spans="4:10">
      <c r="D6" s="32" t="s">
        <v>25</v>
      </c>
      <c r="E6" s="33"/>
      <c r="F6" s="33"/>
      <c r="G6" s="33"/>
    </row>
    <row r="7" spans="4:10">
      <c r="D7" s="33" t="s">
        <v>35</v>
      </c>
      <c r="E7" s="33" t="s">
        <v>54</v>
      </c>
      <c r="F7" s="32" t="s">
        <v>55</v>
      </c>
      <c r="G7" s="33"/>
      <c r="J7" s="141"/>
    </row>
    <row r="8" spans="4:10">
      <c r="D8" s="33" t="s">
        <v>38</v>
      </c>
      <c r="E8" s="33"/>
      <c r="F8" s="32"/>
      <c r="G8" s="33"/>
    </row>
    <row r="11" spans="4:10">
      <c r="D11" s="159" t="s">
        <v>56</v>
      </c>
      <c r="E11" s="160"/>
      <c r="F11" s="160"/>
      <c r="G11" s="161"/>
    </row>
    <row r="12" spans="4:10">
      <c r="D12" s="32" t="s">
        <v>48</v>
      </c>
      <c r="E12" s="32" t="s">
        <v>49</v>
      </c>
      <c r="F12" s="32" t="s">
        <v>50</v>
      </c>
      <c r="G12" s="32" t="s">
        <v>51</v>
      </c>
    </row>
    <row r="13" spans="4:10">
      <c r="D13" s="98"/>
      <c r="E13" s="33"/>
      <c r="F13" s="33"/>
      <c r="G13" s="98"/>
    </row>
    <row r="16" spans="4:10">
      <c r="D16" s="33" t="s">
        <v>48</v>
      </c>
      <c r="E16" s="33" t="s">
        <v>82</v>
      </c>
    </row>
    <row r="17" spans="4:5">
      <c r="D17" s="33" t="s">
        <v>39</v>
      </c>
      <c r="E17" s="143" t="s">
        <v>83</v>
      </c>
    </row>
    <row r="18" spans="4:5">
      <c r="D18" s="33" t="s">
        <v>31</v>
      </c>
      <c r="E18" s="143" t="s">
        <v>84</v>
      </c>
    </row>
    <row r="19" spans="4:5">
      <c r="D19" s="33" t="s">
        <v>33</v>
      </c>
      <c r="E19" s="143">
        <v>45554</v>
      </c>
    </row>
    <row r="20" spans="4:5">
      <c r="D20" s="33" t="s">
        <v>25</v>
      </c>
      <c r="E20" s="143" t="s">
        <v>85</v>
      </c>
    </row>
    <row r="21" spans="4:5">
      <c r="D21" s="100" t="s">
        <v>35</v>
      </c>
      <c r="E21" s="144" t="s">
        <v>86</v>
      </c>
    </row>
  </sheetData>
  <mergeCells count="2">
    <mergeCell ref="D5:G5"/>
    <mergeCell ref="D11:G1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4:AA37"/>
  <sheetViews>
    <sheetView topLeftCell="A16" workbookViewId="0">
      <selection activeCell="I11" sqref="I11"/>
    </sheetView>
  </sheetViews>
  <sheetFormatPr defaultColWidth="9" defaultRowHeight="15"/>
  <cols>
    <col min="2" max="2" width="4.85546875" customWidth="1"/>
    <col min="3" max="3" width="10.42578125" customWidth="1"/>
    <col min="7" max="7" width="9.28515625" customWidth="1"/>
    <col min="12" max="12" width="9.28515625" customWidth="1"/>
    <col min="13" max="13" width="10.5703125" customWidth="1"/>
    <col min="14" max="14" width="9.28515625" customWidth="1"/>
    <col min="15" max="15" width="10.5703125" customWidth="1"/>
    <col min="16" max="16" width="9.28515625" customWidth="1"/>
    <col min="17" max="17" width="10.5703125" customWidth="1"/>
    <col min="18" max="19" width="9.28515625" customWidth="1"/>
    <col min="20" max="22" width="13" customWidth="1"/>
    <col min="23" max="23" width="11.140625" customWidth="1"/>
    <col min="24" max="26" width="11" customWidth="1"/>
    <col min="27" max="27" width="9.28515625" customWidth="1"/>
    <col min="28" max="28" width="11" customWidth="1"/>
    <col min="29" max="29" width="12.85546875" customWidth="1"/>
    <col min="30" max="30" width="14.28515625" customWidth="1"/>
  </cols>
  <sheetData>
    <row r="4" spans="2:27" ht="33.75">
      <c r="B4" s="5" t="s">
        <v>1</v>
      </c>
      <c r="C4" s="5" t="s">
        <v>2</v>
      </c>
      <c r="D4" s="6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57</v>
      </c>
      <c r="S4" s="5" t="s">
        <v>58</v>
      </c>
      <c r="T4" s="5" t="s">
        <v>4</v>
      </c>
      <c r="U4" s="5" t="s">
        <v>5</v>
      </c>
      <c r="V4" s="5" t="s">
        <v>6</v>
      </c>
      <c r="W4" s="5" t="s">
        <v>17</v>
      </c>
      <c r="X4" s="5" t="s">
        <v>18</v>
      </c>
      <c r="Y4" s="5" t="s">
        <v>19</v>
      </c>
      <c r="Z4" s="5" t="s">
        <v>20</v>
      </c>
      <c r="AA4" s="5" t="s">
        <v>21</v>
      </c>
    </row>
    <row r="5" spans="2:27">
      <c r="B5" s="7">
        <v>1</v>
      </c>
      <c r="C5" s="8" t="s">
        <v>59</v>
      </c>
      <c r="D5" s="9" t="s">
        <v>3</v>
      </c>
      <c r="E5" s="7" t="s">
        <v>29</v>
      </c>
      <c r="F5" s="10"/>
      <c r="G5" s="7">
        <v>1</v>
      </c>
      <c r="H5" s="7"/>
      <c r="I5" s="15" t="s">
        <v>27</v>
      </c>
      <c r="J5" s="7"/>
      <c r="K5" s="7"/>
      <c r="L5" s="25">
        <v>32</v>
      </c>
      <c r="M5" s="25">
        <v>10</v>
      </c>
      <c r="N5" s="25">
        <v>152</v>
      </c>
      <c r="O5" s="25">
        <v>0</v>
      </c>
      <c r="P5" s="25">
        <v>194</v>
      </c>
      <c r="Q5" s="25">
        <v>766267.02508960594</v>
      </c>
      <c r="R5" s="25">
        <f>Q5/P5</f>
        <v>3949.8300262350822</v>
      </c>
      <c r="S5" s="25">
        <f>R5*8</f>
        <v>31598.640209880657</v>
      </c>
      <c r="T5" s="25">
        <v>0</v>
      </c>
      <c r="U5" s="25">
        <v>24250</v>
      </c>
      <c r="V5" s="25">
        <v>50000</v>
      </c>
      <c r="W5" s="25">
        <v>0</v>
      </c>
      <c r="X5" s="25">
        <v>0</v>
      </c>
      <c r="Y5" s="25">
        <v>0</v>
      </c>
      <c r="Z5" s="25">
        <v>2000</v>
      </c>
      <c r="AA5" s="25">
        <v>843000</v>
      </c>
    </row>
    <row r="6" spans="2:27">
      <c r="B6" s="11">
        <v>2</v>
      </c>
      <c r="C6" s="12" t="s">
        <v>60</v>
      </c>
      <c r="D6" s="13" t="s">
        <v>26</v>
      </c>
      <c r="E6" s="14" t="s">
        <v>61</v>
      </c>
      <c r="F6" s="13"/>
      <c r="G6" s="14"/>
      <c r="H6" s="14"/>
      <c r="I6" s="14" t="s">
        <v>27</v>
      </c>
      <c r="J6" s="11"/>
      <c r="K6" s="14"/>
      <c r="L6" s="26">
        <v>16</v>
      </c>
      <c r="M6" s="26">
        <v>59</v>
      </c>
      <c r="N6" s="26">
        <v>40</v>
      </c>
      <c r="O6" s="27">
        <v>0</v>
      </c>
      <c r="P6" s="26">
        <v>115</v>
      </c>
      <c r="Q6" s="25">
        <v>453859.318996416</v>
      </c>
      <c r="R6" s="25">
        <f t="shared" ref="R6:R17" si="0">Q6/P6</f>
        <v>3946.6027738818784</v>
      </c>
      <c r="S6" s="25">
        <f t="shared" ref="S6:S17" si="1">R6*8</f>
        <v>31572.822191055027</v>
      </c>
      <c r="T6" s="26">
        <v>0</v>
      </c>
      <c r="U6" s="25">
        <v>14375</v>
      </c>
      <c r="V6" s="26">
        <v>0</v>
      </c>
      <c r="W6" s="26">
        <v>0</v>
      </c>
      <c r="X6" s="26">
        <v>0</v>
      </c>
      <c r="Y6" s="26">
        <v>90000</v>
      </c>
      <c r="Z6" s="26">
        <v>0</v>
      </c>
      <c r="AA6" s="26">
        <v>558500</v>
      </c>
    </row>
    <row r="7" spans="2:27">
      <c r="B7" s="7">
        <v>3</v>
      </c>
      <c r="C7" s="10" t="s">
        <v>62</v>
      </c>
      <c r="D7" s="9" t="s">
        <v>3</v>
      </c>
      <c r="E7" s="15"/>
      <c r="F7" s="9"/>
      <c r="G7" s="15">
        <v>2</v>
      </c>
      <c r="H7" s="15" t="s">
        <v>32</v>
      </c>
      <c r="I7" s="94" t="s">
        <v>30</v>
      </c>
      <c r="J7" s="7"/>
      <c r="K7" s="15" t="s">
        <v>32</v>
      </c>
      <c r="L7" s="28">
        <v>202</v>
      </c>
      <c r="M7" s="28">
        <v>6</v>
      </c>
      <c r="N7" s="28">
        <v>8</v>
      </c>
      <c r="O7" s="28">
        <v>0</v>
      </c>
      <c r="P7" s="25">
        <v>216</v>
      </c>
      <c r="Q7" s="25">
        <v>873959.67741935502</v>
      </c>
      <c r="R7" s="25">
        <f t="shared" si="0"/>
        <v>4046.1096176821993</v>
      </c>
      <c r="S7" s="25">
        <f t="shared" si="1"/>
        <v>32368.876941457595</v>
      </c>
      <c r="T7" s="25">
        <v>100000</v>
      </c>
      <c r="U7" s="25">
        <v>27000</v>
      </c>
      <c r="V7" s="25">
        <v>100000</v>
      </c>
      <c r="W7" s="25">
        <v>81000</v>
      </c>
      <c r="X7" s="25">
        <v>0</v>
      </c>
      <c r="Y7" s="25">
        <v>50000</v>
      </c>
      <c r="Z7" s="25">
        <v>1500</v>
      </c>
      <c r="AA7" s="25">
        <v>1233500</v>
      </c>
    </row>
    <row r="8" spans="2:27">
      <c r="B8" s="7">
        <v>4</v>
      </c>
      <c r="C8" s="9" t="s">
        <v>63</v>
      </c>
      <c r="D8" s="9" t="s">
        <v>26</v>
      </c>
      <c r="E8" s="7" t="s">
        <v>29</v>
      </c>
      <c r="F8" s="9"/>
      <c r="G8" s="15"/>
      <c r="H8" s="15"/>
      <c r="I8" s="15"/>
      <c r="J8" s="7"/>
      <c r="K8" s="15"/>
      <c r="L8" s="28">
        <v>0</v>
      </c>
      <c r="M8" s="28">
        <v>136</v>
      </c>
      <c r="N8" s="28">
        <v>72</v>
      </c>
      <c r="O8" s="28">
        <v>0</v>
      </c>
      <c r="P8" s="25">
        <v>208</v>
      </c>
      <c r="Q8" s="25">
        <v>817275.98566308198</v>
      </c>
      <c r="R8" s="25">
        <f t="shared" si="0"/>
        <v>3929.2114695340479</v>
      </c>
      <c r="S8" s="25">
        <f t="shared" si="1"/>
        <v>31433.691756272383</v>
      </c>
      <c r="T8" s="25">
        <v>0</v>
      </c>
      <c r="U8" s="25">
        <v>26000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843500</v>
      </c>
    </row>
    <row r="9" spans="2:27">
      <c r="B9" s="16">
        <v>5</v>
      </c>
      <c r="C9" s="17" t="s">
        <v>64</v>
      </c>
      <c r="D9" s="17" t="s">
        <v>3</v>
      </c>
      <c r="E9" s="16"/>
      <c r="F9" s="17"/>
      <c r="G9" s="18">
        <v>1</v>
      </c>
      <c r="H9" s="18" t="s">
        <v>32</v>
      </c>
      <c r="I9" s="18" t="s">
        <v>30</v>
      </c>
      <c r="J9" s="16"/>
      <c r="K9" s="18" t="s">
        <v>32</v>
      </c>
      <c r="L9" s="29">
        <v>4</v>
      </c>
      <c r="M9" s="29">
        <v>0</v>
      </c>
      <c r="N9" s="29">
        <v>109</v>
      </c>
      <c r="O9" s="29">
        <v>0</v>
      </c>
      <c r="P9" s="30">
        <v>113</v>
      </c>
      <c r="Q9" s="25">
        <v>444500.896057348</v>
      </c>
      <c r="R9" s="25">
        <f t="shared" si="0"/>
        <v>3933.6362482951149</v>
      </c>
      <c r="S9" s="25">
        <f t="shared" si="1"/>
        <v>31469.089986360919</v>
      </c>
      <c r="T9" s="30">
        <v>100000</v>
      </c>
      <c r="U9" s="25">
        <v>14125</v>
      </c>
      <c r="V9" s="30">
        <v>50000</v>
      </c>
      <c r="W9" s="30">
        <v>42375</v>
      </c>
      <c r="X9" s="30">
        <v>0</v>
      </c>
      <c r="Y9" s="30">
        <v>50000</v>
      </c>
      <c r="Z9" s="30">
        <v>841000</v>
      </c>
      <c r="AA9" s="30">
        <v>1542500</v>
      </c>
    </row>
    <row r="10" spans="2:27">
      <c r="B10" s="16">
        <v>6</v>
      </c>
      <c r="C10" s="19" t="s">
        <v>34</v>
      </c>
      <c r="D10" s="17" t="s">
        <v>3</v>
      </c>
      <c r="E10" s="18"/>
      <c r="F10" s="17"/>
      <c r="G10" s="18">
        <v>4</v>
      </c>
      <c r="H10" s="18" t="s">
        <v>32</v>
      </c>
      <c r="I10" s="18" t="s">
        <v>30</v>
      </c>
      <c r="J10" s="16"/>
      <c r="K10" s="18" t="s">
        <v>32</v>
      </c>
      <c r="L10" s="29">
        <v>0</v>
      </c>
      <c r="M10" s="29">
        <v>84</v>
      </c>
      <c r="N10" s="29">
        <v>2</v>
      </c>
      <c r="O10" s="29">
        <v>0</v>
      </c>
      <c r="P10" s="30">
        <v>86</v>
      </c>
      <c r="Q10" s="25">
        <v>337912.18637992803</v>
      </c>
      <c r="R10" s="25">
        <f t="shared" si="0"/>
        <v>3929.211469534047</v>
      </c>
      <c r="S10" s="25">
        <f t="shared" si="1"/>
        <v>31433.691756272376</v>
      </c>
      <c r="T10" s="30">
        <v>50000</v>
      </c>
      <c r="U10" s="25">
        <v>10750</v>
      </c>
      <c r="V10" s="30">
        <v>200000</v>
      </c>
      <c r="W10" s="30">
        <v>32250</v>
      </c>
      <c r="X10" s="30">
        <v>0</v>
      </c>
      <c r="Y10" s="30">
        <v>50000</v>
      </c>
      <c r="Z10" s="30">
        <v>847000</v>
      </c>
      <c r="AA10" s="30">
        <v>1528000</v>
      </c>
    </row>
    <row r="11" spans="2:27">
      <c r="B11" s="16">
        <v>7</v>
      </c>
      <c r="C11" s="19" t="s">
        <v>65</v>
      </c>
      <c r="D11" s="17" t="s">
        <v>3</v>
      </c>
      <c r="E11" s="16" t="s">
        <v>61</v>
      </c>
      <c r="F11" s="18"/>
      <c r="G11" s="18">
        <v>1</v>
      </c>
      <c r="H11" s="18"/>
      <c r="I11" s="18" t="s">
        <v>27</v>
      </c>
      <c r="J11" s="16"/>
      <c r="K11" s="18"/>
      <c r="L11" s="29">
        <v>0</v>
      </c>
      <c r="M11" s="29">
        <v>134</v>
      </c>
      <c r="N11" s="29">
        <v>11</v>
      </c>
      <c r="O11" s="29">
        <v>0</v>
      </c>
      <c r="P11" s="30">
        <v>145</v>
      </c>
      <c r="Q11" s="30">
        <v>569735.66308243701</v>
      </c>
      <c r="R11" s="25">
        <f t="shared" si="0"/>
        <v>3929.2114695340483</v>
      </c>
      <c r="S11" s="25">
        <f t="shared" si="1"/>
        <v>31433.691756272387</v>
      </c>
      <c r="T11" s="30">
        <v>0</v>
      </c>
      <c r="U11" s="30">
        <v>18125</v>
      </c>
      <c r="V11" s="30">
        <v>50000</v>
      </c>
      <c r="W11" s="30">
        <v>0</v>
      </c>
      <c r="X11" s="30">
        <v>0</v>
      </c>
      <c r="Y11" s="30">
        <v>0</v>
      </c>
      <c r="Z11" s="30">
        <v>196000</v>
      </c>
      <c r="AA11" s="30">
        <v>834000</v>
      </c>
    </row>
    <row r="12" spans="2:27">
      <c r="B12" s="16">
        <v>8</v>
      </c>
      <c r="C12" s="19" t="s">
        <v>52</v>
      </c>
      <c r="D12" s="17" t="s">
        <v>3</v>
      </c>
      <c r="E12" s="16"/>
      <c r="F12" s="17"/>
      <c r="G12" s="18">
        <v>1</v>
      </c>
      <c r="H12" s="18" t="s">
        <v>32</v>
      </c>
      <c r="I12" s="18"/>
      <c r="J12" s="16"/>
      <c r="K12" s="18"/>
      <c r="L12" s="29">
        <v>41</v>
      </c>
      <c r="M12" s="29">
        <v>8</v>
      </c>
      <c r="N12" s="29">
        <v>135</v>
      </c>
      <c r="O12" s="29">
        <v>0</v>
      </c>
      <c r="P12" s="30">
        <v>184</v>
      </c>
      <c r="Q12" s="30">
        <v>728099.91039426497</v>
      </c>
      <c r="R12" s="25">
        <f t="shared" si="0"/>
        <v>3957.0647304036138</v>
      </c>
      <c r="S12" s="25">
        <f t="shared" si="1"/>
        <v>31656.51784322891</v>
      </c>
      <c r="T12" s="30">
        <v>100000</v>
      </c>
      <c r="U12" s="30">
        <v>23000</v>
      </c>
      <c r="V12" s="30">
        <v>50000</v>
      </c>
      <c r="W12" s="30">
        <v>46000</v>
      </c>
      <c r="X12" s="30">
        <v>0</v>
      </c>
      <c r="Y12" s="30">
        <v>0</v>
      </c>
      <c r="Z12" s="30">
        <v>122500</v>
      </c>
      <c r="AA12" s="30">
        <v>1070000</v>
      </c>
    </row>
    <row r="13" spans="2:27">
      <c r="B13" s="7">
        <v>9</v>
      </c>
      <c r="C13" s="10" t="s">
        <v>35</v>
      </c>
      <c r="D13" s="9" t="s">
        <v>3</v>
      </c>
      <c r="E13" s="7"/>
      <c r="F13" s="9"/>
      <c r="G13" s="15">
        <v>1</v>
      </c>
      <c r="H13" s="15"/>
      <c r="I13" s="15" t="s">
        <v>30</v>
      </c>
      <c r="J13" s="7"/>
      <c r="K13" s="15"/>
      <c r="L13" s="28">
        <v>0</v>
      </c>
      <c r="M13" s="28">
        <v>216</v>
      </c>
      <c r="N13" s="28">
        <v>14</v>
      </c>
      <c r="O13" s="28">
        <v>0</v>
      </c>
      <c r="P13" s="25">
        <v>230</v>
      </c>
      <c r="Q13" s="25">
        <v>903718.63799283199</v>
      </c>
      <c r="R13" s="25">
        <f t="shared" si="0"/>
        <v>3929.211469534052</v>
      </c>
      <c r="S13" s="25">
        <f t="shared" si="1"/>
        <v>31433.691756272416</v>
      </c>
      <c r="T13" s="25">
        <v>50000</v>
      </c>
      <c r="U13" s="25">
        <v>28750</v>
      </c>
      <c r="V13" s="25">
        <v>50000</v>
      </c>
      <c r="W13" s="25">
        <v>86250</v>
      </c>
      <c r="X13" s="25">
        <v>0</v>
      </c>
      <c r="Y13" s="25">
        <v>0</v>
      </c>
      <c r="Z13" s="25">
        <v>3000</v>
      </c>
      <c r="AA13" s="25">
        <v>1122000</v>
      </c>
    </row>
    <row r="14" spans="2:27">
      <c r="B14" s="7">
        <v>10</v>
      </c>
      <c r="C14" s="10" t="s">
        <v>66</v>
      </c>
      <c r="D14" s="9" t="s">
        <v>3</v>
      </c>
      <c r="E14" s="15"/>
      <c r="F14" s="9"/>
      <c r="G14" s="15">
        <v>1</v>
      </c>
      <c r="H14" s="15"/>
      <c r="I14" s="15" t="s">
        <v>30</v>
      </c>
      <c r="J14" s="7"/>
      <c r="K14" s="15" t="s">
        <v>32</v>
      </c>
      <c r="L14" s="28">
        <v>232</v>
      </c>
      <c r="M14" s="28">
        <v>22</v>
      </c>
      <c r="N14" s="28">
        <v>0</v>
      </c>
      <c r="O14" s="28">
        <v>0</v>
      </c>
      <c r="P14" s="25">
        <v>254</v>
      </c>
      <c r="Q14" s="25">
        <v>1027019.7132616499</v>
      </c>
      <c r="R14" s="25">
        <f t="shared" si="0"/>
        <v>4043.3846978805118</v>
      </c>
      <c r="S14" s="25">
        <f t="shared" si="1"/>
        <v>32347.077583044094</v>
      </c>
      <c r="T14" s="25">
        <v>50000</v>
      </c>
      <c r="U14" s="25">
        <v>31750</v>
      </c>
      <c r="V14" s="25">
        <v>50000</v>
      </c>
      <c r="W14" s="25">
        <v>95250</v>
      </c>
      <c r="X14" s="25">
        <v>0</v>
      </c>
      <c r="Y14" s="25">
        <v>50000</v>
      </c>
      <c r="Z14" s="25">
        <v>0</v>
      </c>
      <c r="AA14" s="25">
        <v>1304500</v>
      </c>
    </row>
    <row r="15" spans="2:27">
      <c r="B15" s="7">
        <v>11</v>
      </c>
      <c r="C15" s="10" t="s">
        <v>67</v>
      </c>
      <c r="D15" s="9" t="s">
        <v>3</v>
      </c>
      <c r="E15" s="7" t="s">
        <v>61</v>
      </c>
      <c r="F15" s="9"/>
      <c r="G15" s="15">
        <v>1</v>
      </c>
      <c r="H15" s="15"/>
      <c r="I15" s="15"/>
      <c r="J15" s="7"/>
      <c r="K15" s="15"/>
      <c r="L15" s="28">
        <v>205</v>
      </c>
      <c r="M15" s="28">
        <v>4</v>
      </c>
      <c r="N15" s="28">
        <v>1</v>
      </c>
      <c r="O15" s="28">
        <v>0</v>
      </c>
      <c r="P15" s="25">
        <v>210</v>
      </c>
      <c r="Q15" s="25">
        <v>850759.40860215097</v>
      </c>
      <c r="R15" s="25">
        <f t="shared" si="0"/>
        <v>4051.2352790578616</v>
      </c>
      <c r="S15" s="25">
        <f t="shared" si="1"/>
        <v>32409.882232462893</v>
      </c>
      <c r="T15" s="25">
        <v>0</v>
      </c>
      <c r="U15" s="25">
        <v>26250</v>
      </c>
      <c r="V15" s="25">
        <v>50000</v>
      </c>
      <c r="W15" s="25">
        <v>52500</v>
      </c>
      <c r="X15" s="25">
        <v>0</v>
      </c>
      <c r="Y15" s="25">
        <v>0</v>
      </c>
      <c r="Z15" s="25">
        <v>3000</v>
      </c>
      <c r="AA15" s="25">
        <v>983000</v>
      </c>
    </row>
    <row r="16" spans="2:27">
      <c r="B16" s="7">
        <v>12</v>
      </c>
      <c r="C16" s="10" t="s">
        <v>28</v>
      </c>
      <c r="D16" s="9" t="s">
        <v>26</v>
      </c>
      <c r="E16" s="7" t="s">
        <v>61</v>
      </c>
      <c r="F16" s="20"/>
      <c r="G16" s="20"/>
      <c r="H16" s="20"/>
      <c r="I16" s="15"/>
      <c r="J16" s="20"/>
      <c r="K16" s="20"/>
      <c r="L16" s="28">
        <v>4</v>
      </c>
      <c r="M16" s="28">
        <v>32</v>
      </c>
      <c r="N16" s="28">
        <v>170</v>
      </c>
      <c r="O16" s="28">
        <v>0</v>
      </c>
      <c r="P16" s="25">
        <v>206</v>
      </c>
      <c r="Q16" s="25">
        <v>809917.56272401405</v>
      </c>
      <c r="R16" s="25">
        <f t="shared" si="0"/>
        <v>3931.6386540000681</v>
      </c>
      <c r="S16" s="25">
        <f t="shared" si="1"/>
        <v>31453.109232000545</v>
      </c>
      <c r="T16" s="25">
        <v>0</v>
      </c>
      <c r="U16" s="25">
        <v>25750</v>
      </c>
      <c r="V16" s="25">
        <v>0</v>
      </c>
      <c r="W16" s="25">
        <v>0</v>
      </c>
      <c r="X16" s="25">
        <v>0</v>
      </c>
      <c r="Y16" s="25">
        <v>0</v>
      </c>
      <c r="Z16" s="25">
        <v>1000</v>
      </c>
      <c r="AA16" s="25">
        <v>837000</v>
      </c>
    </row>
    <row r="17" spans="2:27">
      <c r="B17" s="7">
        <v>13</v>
      </c>
      <c r="C17" s="10" t="s">
        <v>68</v>
      </c>
      <c r="D17" s="9" t="s">
        <v>26</v>
      </c>
      <c r="E17" s="7" t="s">
        <v>61</v>
      </c>
      <c r="F17" s="20"/>
      <c r="G17" s="20"/>
      <c r="H17" s="20"/>
      <c r="I17" s="15" t="s">
        <v>27</v>
      </c>
      <c r="J17" s="20"/>
      <c r="K17" s="20"/>
      <c r="L17" s="28">
        <v>8</v>
      </c>
      <c r="M17" s="28">
        <v>33</v>
      </c>
      <c r="N17" s="28">
        <v>30</v>
      </c>
      <c r="O17" s="28">
        <v>0</v>
      </c>
      <c r="P17" s="25">
        <v>71</v>
      </c>
      <c r="Q17" s="25">
        <v>279974.01433691802</v>
      </c>
      <c r="R17" s="25">
        <f t="shared" si="0"/>
        <v>3943.2959765763103</v>
      </c>
      <c r="S17" s="25">
        <f t="shared" si="1"/>
        <v>31546.367812610482</v>
      </c>
      <c r="T17" s="25">
        <v>0</v>
      </c>
      <c r="U17" s="25">
        <v>8875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289000</v>
      </c>
    </row>
    <row r="18" spans="2:27">
      <c r="B18" s="5"/>
      <c r="C18" s="21"/>
      <c r="D18" s="21"/>
      <c r="E18" s="5"/>
      <c r="F18" s="21"/>
      <c r="G18" s="6"/>
      <c r="H18" s="6"/>
      <c r="I18" s="6"/>
      <c r="J18" s="5"/>
      <c r="K18" s="6"/>
      <c r="L18" s="31">
        <v>744</v>
      </c>
      <c r="M18" s="31">
        <v>744</v>
      </c>
      <c r="N18" s="31">
        <v>744</v>
      </c>
      <c r="O18" s="31">
        <v>0</v>
      </c>
      <c r="P18" s="31">
        <v>2232</v>
      </c>
      <c r="Q18" s="31">
        <v>8863000</v>
      </c>
      <c r="R18" s="31"/>
      <c r="S18" s="31"/>
      <c r="T18" s="31">
        <v>450000</v>
      </c>
      <c r="U18" s="31">
        <v>279000</v>
      </c>
      <c r="V18" s="31">
        <v>650000</v>
      </c>
      <c r="W18" s="31">
        <v>435625</v>
      </c>
      <c r="X18" s="31">
        <v>0</v>
      </c>
      <c r="Y18" s="31">
        <v>290000</v>
      </c>
      <c r="Z18" s="31">
        <v>2017000</v>
      </c>
      <c r="AA18" s="31">
        <v>12988500</v>
      </c>
    </row>
    <row r="21" spans="2:27">
      <c r="B21" s="22"/>
      <c r="C21" s="22"/>
      <c r="D21" s="22"/>
      <c r="E21" s="22"/>
      <c r="F21" s="22"/>
      <c r="G21" s="22"/>
      <c r="H21" s="22"/>
      <c r="I21" s="22"/>
      <c r="J21" s="22"/>
      <c r="K21" s="95" t="s">
        <v>69</v>
      </c>
      <c r="L21" s="95" t="s">
        <v>70</v>
      </c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</row>
    <row r="22" spans="2:27">
      <c r="B22" s="22"/>
      <c r="C22" s="22"/>
      <c r="D22" s="22"/>
      <c r="E22" s="22"/>
      <c r="F22" s="22"/>
      <c r="G22" s="22"/>
      <c r="H22" s="22"/>
      <c r="I22" s="22"/>
      <c r="J22" s="22"/>
      <c r="K22" s="22">
        <v>32000</v>
      </c>
      <c r="L22" s="22">
        <v>31000</v>
      </c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</row>
    <row r="23" spans="2:27" ht="33.75">
      <c r="B23" s="5" t="s">
        <v>1</v>
      </c>
      <c r="C23" s="5" t="s">
        <v>2</v>
      </c>
      <c r="D23" s="6" t="s">
        <v>3</v>
      </c>
      <c r="E23" s="5" t="s">
        <v>61</v>
      </c>
      <c r="F23" s="5" t="s">
        <v>71</v>
      </c>
      <c r="G23" s="5" t="s">
        <v>72</v>
      </c>
      <c r="H23" s="5" t="s">
        <v>7</v>
      </c>
      <c r="I23" s="5" t="s">
        <v>8</v>
      </c>
      <c r="J23" s="5" t="s">
        <v>9</v>
      </c>
      <c r="K23" s="5" t="s">
        <v>10</v>
      </c>
      <c r="L23" s="5" t="s">
        <v>11</v>
      </c>
      <c r="M23" s="5" t="s">
        <v>73</v>
      </c>
      <c r="N23" s="5" t="s">
        <v>12</v>
      </c>
      <c r="O23" s="5"/>
      <c r="P23" s="5" t="s">
        <v>13</v>
      </c>
      <c r="Q23" s="5"/>
      <c r="R23" s="5" t="s">
        <v>14</v>
      </c>
      <c r="S23" s="5" t="s">
        <v>15</v>
      </c>
      <c r="T23" s="5" t="s">
        <v>16</v>
      </c>
      <c r="U23" s="5" t="s">
        <v>57</v>
      </c>
      <c r="V23" s="5" t="s">
        <v>58</v>
      </c>
      <c r="W23" s="5" t="s">
        <v>4</v>
      </c>
      <c r="X23" s="5" t="s">
        <v>5</v>
      </c>
      <c r="Y23" s="5" t="s">
        <v>6</v>
      </c>
    </row>
    <row r="24" spans="2:27">
      <c r="B24" s="7">
        <v>1</v>
      </c>
      <c r="C24" s="8" t="s">
        <v>59</v>
      </c>
      <c r="D24" s="23" t="s">
        <v>3</v>
      </c>
      <c r="E24" s="23">
        <v>4</v>
      </c>
      <c r="F24" s="23">
        <v>4</v>
      </c>
      <c r="G24" s="23">
        <v>2</v>
      </c>
      <c r="H24" s="23" t="s">
        <v>74</v>
      </c>
      <c r="I24" s="23"/>
      <c r="J24" s="23"/>
      <c r="K24" s="23"/>
      <c r="L24" s="23">
        <v>32</v>
      </c>
      <c r="M24" s="23">
        <f>$K$22/8*L24</f>
        <v>128000</v>
      </c>
      <c r="N24" s="23">
        <v>10</v>
      </c>
      <c r="O24" s="23">
        <f>$L$22/8*N24</f>
        <v>38750</v>
      </c>
      <c r="P24" s="23">
        <v>152</v>
      </c>
      <c r="Q24" s="23">
        <f>$L$22/8*P24</f>
        <v>589000</v>
      </c>
      <c r="R24" s="23"/>
      <c r="S24" s="23">
        <f>L24+N24+P24</f>
        <v>194</v>
      </c>
      <c r="T24" s="23">
        <f>M24+O24+Q24</f>
        <v>755750</v>
      </c>
      <c r="U24" s="23"/>
      <c r="V24" s="23"/>
      <c r="W24" s="23"/>
      <c r="X24" s="23"/>
      <c r="Y24" s="23"/>
    </row>
    <row r="25" spans="2:27">
      <c r="B25" s="11">
        <v>2</v>
      </c>
      <c r="C25" s="12" t="s">
        <v>60</v>
      </c>
      <c r="D25" s="23"/>
      <c r="E25" s="23"/>
      <c r="F25" s="23"/>
      <c r="G25" s="23"/>
      <c r="H25" s="23"/>
      <c r="I25" s="23"/>
      <c r="J25" s="23"/>
      <c r="K25" s="23"/>
      <c r="L25" s="26">
        <v>16</v>
      </c>
      <c r="M25" s="23">
        <f t="shared" ref="M25:M36" si="2">$K$22/8*L25</f>
        <v>64000</v>
      </c>
      <c r="N25" s="26">
        <v>59</v>
      </c>
      <c r="O25" s="23">
        <f t="shared" ref="O25:O36" si="3">$L$22/8*N25</f>
        <v>228625</v>
      </c>
      <c r="P25" s="26">
        <v>40</v>
      </c>
      <c r="Q25" s="23">
        <f t="shared" ref="Q25:Q36" si="4">$L$22/8*P25</f>
        <v>155000</v>
      </c>
      <c r="R25" s="23"/>
      <c r="S25" s="23">
        <f t="shared" ref="S25:S36" si="5">L25+N25+P25</f>
        <v>115</v>
      </c>
      <c r="T25" s="23">
        <f t="shared" ref="T25:T36" si="6">M25+O25+Q25</f>
        <v>447625</v>
      </c>
      <c r="U25" s="23"/>
      <c r="V25" s="23"/>
      <c r="W25" s="23"/>
      <c r="X25" s="23"/>
      <c r="Y25" s="23"/>
    </row>
    <row r="26" spans="2:27">
      <c r="B26" s="7">
        <v>3</v>
      </c>
      <c r="C26" s="10" t="s">
        <v>62</v>
      </c>
      <c r="D26" s="23"/>
      <c r="E26" s="23"/>
      <c r="F26" s="23"/>
      <c r="G26" s="23"/>
      <c r="H26" s="23"/>
      <c r="I26" s="23"/>
      <c r="J26" s="23"/>
      <c r="K26" s="23"/>
      <c r="L26" s="28">
        <v>202</v>
      </c>
      <c r="M26" s="23">
        <f t="shared" si="2"/>
        <v>808000</v>
      </c>
      <c r="N26" s="28">
        <v>6</v>
      </c>
      <c r="O26" s="23">
        <f t="shared" si="3"/>
        <v>23250</v>
      </c>
      <c r="P26" s="28">
        <v>8</v>
      </c>
      <c r="Q26" s="23">
        <f t="shared" si="4"/>
        <v>31000</v>
      </c>
      <c r="R26" s="23"/>
      <c r="S26" s="23">
        <f t="shared" si="5"/>
        <v>216</v>
      </c>
      <c r="T26" s="23">
        <f t="shared" si="6"/>
        <v>862250</v>
      </c>
      <c r="U26" s="23"/>
      <c r="V26" s="23"/>
      <c r="W26" s="23"/>
      <c r="X26" s="23"/>
      <c r="Y26" s="23"/>
    </row>
    <row r="27" spans="2:27">
      <c r="B27" s="7">
        <v>4</v>
      </c>
      <c r="C27" s="9" t="s">
        <v>63</v>
      </c>
      <c r="D27" s="23"/>
      <c r="E27" s="23"/>
      <c r="F27" s="23"/>
      <c r="G27" s="23"/>
      <c r="H27" s="23"/>
      <c r="I27" s="23"/>
      <c r="J27" s="23"/>
      <c r="K27" s="23"/>
      <c r="L27" s="28">
        <v>0</v>
      </c>
      <c r="M27" s="23">
        <f t="shared" si="2"/>
        <v>0</v>
      </c>
      <c r="N27" s="28">
        <v>136</v>
      </c>
      <c r="O27" s="23">
        <f t="shared" si="3"/>
        <v>527000</v>
      </c>
      <c r="P27" s="28">
        <v>72</v>
      </c>
      <c r="Q27" s="23">
        <f t="shared" si="4"/>
        <v>279000</v>
      </c>
      <c r="R27" s="23"/>
      <c r="S27" s="23">
        <f t="shared" si="5"/>
        <v>208</v>
      </c>
      <c r="T27" s="23">
        <f t="shared" si="6"/>
        <v>806000</v>
      </c>
      <c r="U27" s="23"/>
      <c r="V27" s="23"/>
      <c r="W27" s="23"/>
      <c r="X27" s="23"/>
      <c r="Y27" s="23"/>
    </row>
    <row r="28" spans="2:27">
      <c r="B28" s="16">
        <v>5</v>
      </c>
      <c r="C28" s="17" t="s">
        <v>64</v>
      </c>
      <c r="D28" s="23"/>
      <c r="E28" s="23"/>
      <c r="F28" s="23"/>
      <c r="G28" s="23"/>
      <c r="H28" s="23"/>
      <c r="I28" s="23"/>
      <c r="J28" s="23"/>
      <c r="K28" s="23"/>
      <c r="L28" s="29">
        <v>4</v>
      </c>
      <c r="M28" s="23">
        <f t="shared" si="2"/>
        <v>16000</v>
      </c>
      <c r="N28" s="29">
        <v>0</v>
      </c>
      <c r="O28" s="23">
        <f t="shared" si="3"/>
        <v>0</v>
      </c>
      <c r="P28" s="29">
        <v>109</v>
      </c>
      <c r="Q28" s="23">
        <f t="shared" si="4"/>
        <v>422375</v>
      </c>
      <c r="R28" s="23"/>
      <c r="S28" s="23">
        <f t="shared" si="5"/>
        <v>113</v>
      </c>
      <c r="T28" s="23">
        <f t="shared" si="6"/>
        <v>438375</v>
      </c>
      <c r="U28" s="23"/>
      <c r="V28" s="23"/>
      <c r="W28" s="23"/>
      <c r="X28" s="23"/>
      <c r="Y28" s="23"/>
    </row>
    <row r="29" spans="2:27">
      <c r="B29" s="16">
        <v>6</v>
      </c>
      <c r="C29" s="19" t="s">
        <v>34</v>
      </c>
      <c r="D29" s="23"/>
      <c r="E29" s="23"/>
      <c r="F29" s="23"/>
      <c r="G29" s="23"/>
      <c r="H29" s="23"/>
      <c r="I29" s="23"/>
      <c r="J29" s="23"/>
      <c r="K29" s="23"/>
      <c r="L29" s="29">
        <v>0</v>
      </c>
      <c r="M29" s="23">
        <f t="shared" si="2"/>
        <v>0</v>
      </c>
      <c r="N29" s="29">
        <v>84</v>
      </c>
      <c r="O29" s="23">
        <f t="shared" si="3"/>
        <v>325500</v>
      </c>
      <c r="P29" s="29">
        <v>2</v>
      </c>
      <c r="Q29" s="23">
        <f t="shared" si="4"/>
        <v>7750</v>
      </c>
      <c r="R29" s="23"/>
      <c r="S29" s="23">
        <f t="shared" si="5"/>
        <v>86</v>
      </c>
      <c r="T29" s="23">
        <f t="shared" si="6"/>
        <v>333250</v>
      </c>
      <c r="U29" s="23"/>
      <c r="V29" s="23"/>
      <c r="W29" s="23"/>
      <c r="X29" s="23"/>
      <c r="Y29" s="23"/>
    </row>
    <row r="30" spans="2:27">
      <c r="B30" s="16">
        <v>7</v>
      </c>
      <c r="C30" s="19" t="s">
        <v>65</v>
      </c>
      <c r="D30" s="23"/>
      <c r="E30" s="23"/>
      <c r="F30" s="23"/>
      <c r="G30" s="23"/>
      <c r="H30" s="23"/>
      <c r="I30" s="23"/>
      <c r="J30" s="23"/>
      <c r="K30" s="23"/>
      <c r="L30" s="29">
        <v>0</v>
      </c>
      <c r="M30" s="23">
        <f t="shared" si="2"/>
        <v>0</v>
      </c>
      <c r="N30" s="29">
        <v>134</v>
      </c>
      <c r="O30" s="23">
        <f t="shared" si="3"/>
        <v>519250</v>
      </c>
      <c r="P30" s="29">
        <v>11</v>
      </c>
      <c r="Q30" s="23">
        <f t="shared" si="4"/>
        <v>42625</v>
      </c>
      <c r="R30" s="23"/>
      <c r="S30" s="23">
        <f t="shared" si="5"/>
        <v>145</v>
      </c>
      <c r="T30" s="23">
        <f t="shared" si="6"/>
        <v>561875</v>
      </c>
      <c r="U30" s="23"/>
      <c r="V30" s="23"/>
      <c r="W30" s="23"/>
      <c r="X30" s="23"/>
      <c r="Y30" s="23"/>
    </row>
    <row r="31" spans="2:27">
      <c r="B31" s="16">
        <v>8</v>
      </c>
      <c r="C31" s="19" t="s">
        <v>52</v>
      </c>
      <c r="D31" s="23"/>
      <c r="E31" s="23"/>
      <c r="F31" s="23"/>
      <c r="G31" s="23"/>
      <c r="H31" s="23"/>
      <c r="I31" s="23"/>
      <c r="J31" s="23"/>
      <c r="K31" s="23"/>
      <c r="L31" s="29">
        <v>41</v>
      </c>
      <c r="M31" s="23">
        <f t="shared" si="2"/>
        <v>164000</v>
      </c>
      <c r="N31" s="29">
        <v>8</v>
      </c>
      <c r="O31" s="23">
        <f t="shared" si="3"/>
        <v>31000</v>
      </c>
      <c r="P31" s="29">
        <v>135</v>
      </c>
      <c r="Q31" s="23">
        <f t="shared" si="4"/>
        <v>523125</v>
      </c>
      <c r="R31" s="23"/>
      <c r="S31" s="23">
        <f t="shared" si="5"/>
        <v>184</v>
      </c>
      <c r="T31" s="23">
        <f t="shared" si="6"/>
        <v>718125</v>
      </c>
      <c r="U31" s="23"/>
      <c r="V31" s="23"/>
      <c r="W31" s="23"/>
      <c r="X31" s="23"/>
      <c r="Y31" s="23"/>
    </row>
    <row r="32" spans="2:27">
      <c r="B32" s="7">
        <v>9</v>
      </c>
      <c r="C32" s="10" t="s">
        <v>35</v>
      </c>
      <c r="D32" s="23"/>
      <c r="E32" s="23"/>
      <c r="F32" s="23"/>
      <c r="G32" s="23"/>
      <c r="H32" s="23"/>
      <c r="I32" s="23"/>
      <c r="J32" s="23"/>
      <c r="K32" s="23"/>
      <c r="L32" s="28">
        <v>0</v>
      </c>
      <c r="M32" s="23">
        <f t="shared" si="2"/>
        <v>0</v>
      </c>
      <c r="N32" s="28">
        <v>216</v>
      </c>
      <c r="O32" s="23">
        <f t="shared" si="3"/>
        <v>837000</v>
      </c>
      <c r="P32" s="28">
        <v>14</v>
      </c>
      <c r="Q32" s="23">
        <f t="shared" si="4"/>
        <v>54250</v>
      </c>
      <c r="R32" s="23"/>
      <c r="S32" s="23">
        <f t="shared" si="5"/>
        <v>230</v>
      </c>
      <c r="T32" s="23">
        <f t="shared" si="6"/>
        <v>891250</v>
      </c>
      <c r="U32" s="23"/>
      <c r="V32" s="23"/>
      <c r="W32" s="23"/>
      <c r="X32" s="23"/>
      <c r="Y32" s="23"/>
    </row>
    <row r="33" spans="2:25">
      <c r="B33" s="7">
        <v>10</v>
      </c>
      <c r="C33" s="10" t="s">
        <v>66</v>
      </c>
      <c r="D33" s="23"/>
      <c r="E33" s="23"/>
      <c r="F33" s="23"/>
      <c r="G33" s="23"/>
      <c r="H33" s="23"/>
      <c r="I33" s="23"/>
      <c r="J33" s="23"/>
      <c r="K33" s="23"/>
      <c r="L33" s="28">
        <v>232</v>
      </c>
      <c r="M33" s="23">
        <f t="shared" si="2"/>
        <v>928000</v>
      </c>
      <c r="N33" s="28">
        <v>22</v>
      </c>
      <c r="O33" s="23">
        <f t="shared" si="3"/>
        <v>85250</v>
      </c>
      <c r="P33" s="28">
        <v>0</v>
      </c>
      <c r="Q33" s="23">
        <f t="shared" si="4"/>
        <v>0</v>
      </c>
      <c r="R33" s="23"/>
      <c r="S33" s="23">
        <f t="shared" si="5"/>
        <v>254</v>
      </c>
      <c r="T33" s="23">
        <f t="shared" si="6"/>
        <v>1013250</v>
      </c>
      <c r="U33" s="23"/>
      <c r="V33" s="23"/>
      <c r="W33" s="23"/>
      <c r="X33" s="23"/>
      <c r="Y33" s="23"/>
    </row>
    <row r="34" spans="2:25">
      <c r="B34" s="7">
        <v>11</v>
      </c>
      <c r="C34" s="10" t="s">
        <v>67</v>
      </c>
      <c r="D34" s="23"/>
      <c r="E34" s="23"/>
      <c r="F34" s="23"/>
      <c r="G34" s="23"/>
      <c r="H34" s="23"/>
      <c r="I34" s="23"/>
      <c r="J34" s="23"/>
      <c r="K34" s="23"/>
      <c r="L34" s="28">
        <v>205</v>
      </c>
      <c r="M34" s="23">
        <f t="shared" si="2"/>
        <v>820000</v>
      </c>
      <c r="N34" s="28">
        <v>4</v>
      </c>
      <c r="O34" s="23">
        <f t="shared" si="3"/>
        <v>15500</v>
      </c>
      <c r="P34" s="28">
        <v>1</v>
      </c>
      <c r="Q34" s="23">
        <f t="shared" si="4"/>
        <v>3875</v>
      </c>
      <c r="R34" s="23"/>
      <c r="S34" s="23">
        <f t="shared" si="5"/>
        <v>210</v>
      </c>
      <c r="T34" s="23">
        <f t="shared" si="6"/>
        <v>839375</v>
      </c>
      <c r="U34" s="23"/>
      <c r="V34" s="23"/>
      <c r="W34" s="23"/>
      <c r="X34" s="23"/>
      <c r="Y34" s="23"/>
    </row>
    <row r="35" spans="2:25">
      <c r="B35" s="7">
        <v>12</v>
      </c>
      <c r="C35" s="10" t="s">
        <v>28</v>
      </c>
      <c r="D35" s="23"/>
      <c r="E35" s="23"/>
      <c r="F35" s="23"/>
      <c r="G35" s="23"/>
      <c r="H35" s="23"/>
      <c r="I35" s="23"/>
      <c r="J35" s="23"/>
      <c r="K35" s="23"/>
      <c r="L35" s="28">
        <v>4</v>
      </c>
      <c r="M35" s="23">
        <f t="shared" si="2"/>
        <v>16000</v>
      </c>
      <c r="N35" s="28">
        <v>32</v>
      </c>
      <c r="O35" s="23">
        <f t="shared" si="3"/>
        <v>124000</v>
      </c>
      <c r="P35" s="28">
        <v>170</v>
      </c>
      <c r="Q35" s="23">
        <f t="shared" si="4"/>
        <v>658750</v>
      </c>
      <c r="R35" s="23"/>
      <c r="S35" s="23">
        <f t="shared" si="5"/>
        <v>206</v>
      </c>
      <c r="T35" s="23">
        <f t="shared" si="6"/>
        <v>798750</v>
      </c>
      <c r="U35" s="23"/>
      <c r="V35" s="23"/>
      <c r="W35" s="23"/>
      <c r="X35" s="23"/>
      <c r="Y35" s="23"/>
    </row>
    <row r="36" spans="2:25">
      <c r="B36" s="7">
        <v>13</v>
      </c>
      <c r="C36" s="10" t="s">
        <v>68</v>
      </c>
      <c r="D36" s="23"/>
      <c r="E36" s="23"/>
      <c r="F36" s="23"/>
      <c r="G36" s="23"/>
      <c r="H36" s="23"/>
      <c r="I36" s="23"/>
      <c r="J36" s="23"/>
      <c r="K36" s="23"/>
      <c r="L36" s="28">
        <v>8</v>
      </c>
      <c r="M36" s="23">
        <f t="shared" si="2"/>
        <v>32000</v>
      </c>
      <c r="N36" s="28">
        <v>33</v>
      </c>
      <c r="O36" s="23">
        <f t="shared" si="3"/>
        <v>127875</v>
      </c>
      <c r="P36" s="28">
        <v>30</v>
      </c>
      <c r="Q36" s="23">
        <f t="shared" si="4"/>
        <v>116250</v>
      </c>
      <c r="R36" s="23"/>
      <c r="S36" s="23">
        <f t="shared" si="5"/>
        <v>71</v>
      </c>
      <c r="T36" s="23">
        <f t="shared" si="6"/>
        <v>276125</v>
      </c>
      <c r="U36" s="23"/>
      <c r="V36" s="23"/>
      <c r="W36" s="23"/>
      <c r="X36" s="23"/>
      <c r="Y36" s="23"/>
    </row>
    <row r="37" spans="2:25">
      <c r="B37" s="5"/>
      <c r="C37" s="21"/>
      <c r="D37" s="24"/>
      <c r="E37" s="24"/>
      <c r="F37" s="24"/>
      <c r="G37" s="24"/>
      <c r="H37" s="24"/>
      <c r="I37" s="24"/>
      <c r="J37" s="24"/>
      <c r="K37" s="24"/>
      <c r="L37" s="24">
        <f t="shared" ref="L37:Q37" si="7">SUM(L24:L36)</f>
        <v>744</v>
      </c>
      <c r="M37" s="24">
        <f t="shared" si="7"/>
        <v>2976000</v>
      </c>
      <c r="N37" s="24">
        <f t="shared" si="7"/>
        <v>744</v>
      </c>
      <c r="O37" s="24">
        <f t="shared" si="7"/>
        <v>2883000</v>
      </c>
      <c r="P37" s="24">
        <f t="shared" si="7"/>
        <v>744</v>
      </c>
      <c r="Q37" s="24">
        <f t="shared" si="7"/>
        <v>2883000</v>
      </c>
      <c r="R37" s="24"/>
      <c r="S37" s="24">
        <f>SUM(S24:S36)</f>
        <v>2232</v>
      </c>
      <c r="T37" s="24">
        <f>SUM(T24:T36)</f>
        <v>8742000</v>
      </c>
      <c r="U37" s="24"/>
      <c r="V37" s="24"/>
      <c r="W37" s="24"/>
      <c r="X37" s="24"/>
      <c r="Y37" s="24"/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2"/>
  <dimension ref="A1:J12"/>
  <sheetViews>
    <sheetView workbookViewId="0">
      <selection activeCell="I3" sqref="I3"/>
    </sheetView>
  </sheetViews>
  <sheetFormatPr defaultColWidth="9" defaultRowHeight="15"/>
  <cols>
    <col min="9" max="9" width="18.140625" customWidth="1"/>
  </cols>
  <sheetData>
    <row r="1" spans="1:10">
      <c r="A1" t="s">
        <v>75</v>
      </c>
    </row>
    <row r="2" spans="1:10">
      <c r="A2" t="s">
        <v>76</v>
      </c>
      <c r="B2" t="s">
        <v>77</v>
      </c>
      <c r="F2" s="1" t="s">
        <v>78</v>
      </c>
      <c r="I2" s="1" t="s">
        <v>79</v>
      </c>
      <c r="J2" s="1" t="s">
        <v>80</v>
      </c>
    </row>
    <row r="3" spans="1:10">
      <c r="A3">
        <v>35000</v>
      </c>
      <c r="B3">
        <v>34000</v>
      </c>
      <c r="F3">
        <v>0</v>
      </c>
      <c r="I3" s="3">
        <f>Sheet1!B3</f>
        <v>45839</v>
      </c>
    </row>
    <row r="4" spans="1:10">
      <c r="I4" s="4">
        <f>EOMONTH(I3,0)</f>
        <v>45869</v>
      </c>
      <c r="J4">
        <v>2</v>
      </c>
    </row>
    <row r="6" spans="1:10">
      <c r="A6">
        <v>33000</v>
      </c>
      <c r="B6">
        <v>32000</v>
      </c>
    </row>
    <row r="10" spans="1:10">
      <c r="A10">
        <f>A3*1.5</f>
        <v>52500</v>
      </c>
    </row>
    <row r="11" spans="1:10">
      <c r="A11">
        <f>A10-A3</f>
        <v>17500</v>
      </c>
    </row>
    <row r="12" spans="1:10">
      <c r="A12" s="2">
        <f>A11/8</f>
        <v>2187.5</v>
      </c>
      <c r="B12" s="2" t="s">
        <v>81</v>
      </c>
      <c r="C12" s="2"/>
      <c r="D12" s="2"/>
      <c r="E12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Sheet3</vt:lpstr>
      <vt:lpstr>Sheet2</vt:lpstr>
      <vt:lpstr>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Billing</cp:lastModifiedBy>
  <cp:lastPrinted>2025-01-09T08:11:00Z</cp:lastPrinted>
  <dcterms:created xsi:type="dcterms:W3CDTF">2022-07-05T15:57:00Z</dcterms:created>
  <dcterms:modified xsi:type="dcterms:W3CDTF">2025-08-05T22:07:35Z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8C6D8E10CC9F4707959DEB79809002C5_12</vt:lpwstr>
  </property>
  <property fmtid="{D5CDD505-2E9C-101B-9397-08002B2CF9AE}" pid="3" name="KSOProductBuildVer">
    <vt:lpwstr>1033-12.2.0.20782</vt:lpwstr>
  </property>
</Properties>
</file>