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DOC OP\glg\"/>
    </mc:Choice>
  </mc:AlternateContent>
  <xr:revisionPtr revIDLastSave="0" documentId="13_ncr:1_{21EED41C-9EC7-4B6C-987A-A58941BDCFC9}" xr6:coauthVersionLast="45" xr6:coauthVersionMax="45" xr10:uidLastSave="{00000000-0000-0000-0000-000000000000}"/>
  <bookViews>
    <workbookView xWindow="-60" yWindow="-60" windowWidth="20520" windowHeight="11220" xr2:uid="{00000000-000D-0000-FFFF-FFFF00000000}"/>
  </bookViews>
  <sheets>
    <sheet name="Maret" sheetId="4" r:id="rId1"/>
    <sheet name="DV-IDENTITY-0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X17" i="6" l="1"/>
  <c r="DW17" i="6"/>
  <c r="DV17" i="6"/>
  <c r="DU17" i="6"/>
  <c r="DT17" i="6"/>
  <c r="DS17" i="6"/>
  <c r="DR17" i="6"/>
  <c r="DQ17" i="6"/>
  <c r="DP17" i="6"/>
  <c r="DO17" i="6"/>
  <c r="DN17" i="6"/>
  <c r="DM17" i="6"/>
  <c r="DL17" i="6"/>
  <c r="DK17" i="6"/>
  <c r="DJ17" i="6"/>
  <c r="DI17" i="6"/>
  <c r="DH17" i="6"/>
  <c r="DG17" i="6"/>
  <c r="DF17" i="6"/>
  <c r="DE17" i="6"/>
  <c r="DD17" i="6"/>
  <c r="DC17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IV16" i="6"/>
  <c r="IU16" i="6"/>
  <c r="IT16" i="6"/>
  <c r="IS16" i="6"/>
  <c r="IR16" i="6"/>
  <c r="IQ16" i="6"/>
  <c r="IP16" i="6"/>
  <c r="IO16" i="6"/>
  <c r="IN16" i="6"/>
  <c r="IM16" i="6"/>
  <c r="IL16" i="6"/>
  <c r="IK16" i="6"/>
  <c r="IJ16" i="6"/>
  <c r="II16" i="6"/>
  <c r="IH16" i="6"/>
  <c r="IG16" i="6"/>
  <c r="IF16" i="6"/>
  <c r="IE16" i="6"/>
  <c r="ID16" i="6"/>
  <c r="IC16" i="6"/>
  <c r="IB16" i="6"/>
  <c r="IA16" i="6"/>
  <c r="HZ16" i="6"/>
  <c r="HY16" i="6"/>
  <c r="HX16" i="6"/>
  <c r="HW16" i="6"/>
  <c r="HV16" i="6"/>
  <c r="HU16" i="6"/>
  <c r="HT16" i="6"/>
  <c r="HS16" i="6"/>
  <c r="HR16" i="6"/>
  <c r="HQ16" i="6"/>
  <c r="HP16" i="6"/>
  <c r="HO16" i="6"/>
  <c r="HN16" i="6"/>
  <c r="HM16" i="6"/>
  <c r="HL16" i="6"/>
  <c r="HK16" i="6"/>
  <c r="HJ16" i="6"/>
  <c r="HI16" i="6"/>
  <c r="HH16" i="6"/>
  <c r="HG16" i="6"/>
  <c r="HF16" i="6"/>
  <c r="HE16" i="6"/>
  <c r="HD16" i="6"/>
  <c r="HC16" i="6"/>
  <c r="HB16" i="6"/>
  <c r="HA16" i="6"/>
  <c r="GZ16" i="6"/>
  <c r="GY16" i="6"/>
  <c r="GX16" i="6"/>
  <c r="GW16" i="6"/>
  <c r="GV16" i="6"/>
  <c r="GU16" i="6"/>
  <c r="GT16" i="6"/>
  <c r="GS16" i="6"/>
  <c r="GR16" i="6"/>
  <c r="GQ16" i="6"/>
  <c r="GP16" i="6"/>
  <c r="GO16" i="6"/>
  <c r="GN16" i="6"/>
  <c r="GM16" i="6"/>
  <c r="GL16" i="6"/>
  <c r="GK16" i="6"/>
  <c r="GJ16" i="6"/>
  <c r="GI16" i="6"/>
  <c r="GH16" i="6"/>
  <c r="GG16" i="6"/>
  <c r="GF16" i="6"/>
  <c r="GE16" i="6"/>
  <c r="GD16" i="6"/>
  <c r="GC16" i="6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B1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EO16" i="6"/>
  <c r="EN16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IV15" i="6"/>
  <c r="IU15" i="6"/>
  <c r="IT15" i="6"/>
  <c r="IS15" i="6"/>
  <c r="IR15" i="6"/>
  <c r="IQ15" i="6"/>
  <c r="IP15" i="6"/>
  <c r="IO15" i="6"/>
  <c r="IN15" i="6"/>
  <c r="IM15" i="6"/>
  <c r="IL15" i="6"/>
  <c r="IK15" i="6"/>
  <c r="IJ15" i="6"/>
  <c r="II15" i="6"/>
  <c r="IH15" i="6"/>
  <c r="IG15" i="6"/>
  <c r="IF15" i="6"/>
  <c r="IE15" i="6"/>
  <c r="ID15" i="6"/>
  <c r="IC15" i="6"/>
  <c r="IB15" i="6"/>
  <c r="IA15" i="6"/>
  <c r="HZ15" i="6"/>
  <c r="HY15" i="6"/>
  <c r="HX15" i="6"/>
  <c r="HW15" i="6"/>
  <c r="HV15" i="6"/>
  <c r="HU15" i="6"/>
  <c r="HT15" i="6"/>
  <c r="HS15" i="6"/>
  <c r="HR15" i="6"/>
  <c r="HQ15" i="6"/>
  <c r="HP15" i="6"/>
  <c r="HO15" i="6"/>
  <c r="HN15" i="6"/>
  <c r="HM15" i="6"/>
  <c r="HL15" i="6"/>
  <c r="HK15" i="6"/>
  <c r="HJ15" i="6"/>
  <c r="HI15" i="6"/>
  <c r="HH15" i="6"/>
  <c r="HG15" i="6"/>
  <c r="HF15" i="6"/>
  <c r="HE15" i="6"/>
  <c r="HD15" i="6"/>
  <c r="HC15" i="6"/>
  <c r="HB15" i="6"/>
  <c r="HA15" i="6"/>
  <c r="GZ15" i="6"/>
  <c r="GY15" i="6"/>
  <c r="GX15" i="6"/>
  <c r="GW15" i="6"/>
  <c r="GV15" i="6"/>
  <c r="GU15" i="6"/>
  <c r="GT15" i="6"/>
  <c r="GS15" i="6"/>
  <c r="GR15" i="6"/>
  <c r="GQ15" i="6"/>
  <c r="GP15" i="6"/>
  <c r="GO15" i="6"/>
  <c r="GN15" i="6"/>
  <c r="GM15" i="6"/>
  <c r="GL15" i="6"/>
  <c r="GK15" i="6"/>
  <c r="GJ15" i="6"/>
  <c r="GI15" i="6"/>
  <c r="GH15" i="6"/>
  <c r="GG15" i="6"/>
  <c r="GF15" i="6"/>
  <c r="GE15" i="6"/>
  <c r="GD15" i="6"/>
  <c r="GC15" i="6"/>
  <c r="GB15" i="6"/>
  <c r="GA15" i="6"/>
  <c r="FZ15" i="6"/>
  <c r="FY15" i="6"/>
  <c r="FX15" i="6"/>
  <c r="FW15" i="6"/>
  <c r="FV15" i="6"/>
  <c r="FU15" i="6"/>
  <c r="FT15" i="6"/>
  <c r="FS15" i="6"/>
  <c r="FR15" i="6"/>
  <c r="FQ15" i="6"/>
  <c r="FP15" i="6"/>
  <c r="FO15" i="6"/>
  <c r="FN15" i="6"/>
  <c r="FM15" i="6"/>
  <c r="FL15" i="6"/>
  <c r="FK15" i="6"/>
  <c r="FJ15" i="6"/>
  <c r="FI15" i="6"/>
  <c r="FH15" i="6"/>
  <c r="FG15" i="6"/>
  <c r="FF15" i="6"/>
  <c r="FE15" i="6"/>
  <c r="FD15" i="6"/>
  <c r="FC15" i="6"/>
  <c r="FB15" i="6"/>
  <c r="FA15" i="6"/>
  <c r="EZ15" i="6"/>
  <c r="EY15" i="6"/>
  <c r="EX15" i="6"/>
  <c r="EW15" i="6"/>
  <c r="EV15" i="6"/>
  <c r="EU15" i="6"/>
  <c r="ET15" i="6"/>
  <c r="ES15" i="6"/>
  <c r="ER15" i="6"/>
  <c r="EQ15" i="6"/>
  <c r="EP15" i="6"/>
  <c r="EO15" i="6"/>
  <c r="EN15" i="6"/>
  <c r="EM15" i="6"/>
  <c r="EL15" i="6"/>
  <c r="EK15" i="6"/>
  <c r="EJ15" i="6"/>
  <c r="EI15" i="6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DK15" i="6"/>
  <c r="DJ15" i="6"/>
  <c r="DI15" i="6"/>
  <c r="DH15" i="6"/>
  <c r="DG15" i="6"/>
  <c r="DF15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IV14" i="6"/>
  <c r="IU14" i="6"/>
  <c r="IT14" i="6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14" i="6"/>
  <c r="IV13" i="6"/>
  <c r="IU13" i="6"/>
  <c r="IT13" i="6"/>
  <c r="IS13" i="6"/>
  <c r="IR13" i="6"/>
  <c r="IQ13" i="6"/>
  <c r="IP13" i="6"/>
  <c r="IO13" i="6"/>
  <c r="IN13" i="6"/>
  <c r="IM13" i="6"/>
  <c r="IL13" i="6"/>
  <c r="IK13" i="6"/>
  <c r="IJ13" i="6"/>
  <c r="II13" i="6"/>
  <c r="IH13" i="6"/>
  <c r="IG13" i="6"/>
  <c r="IF13" i="6"/>
  <c r="IE13" i="6"/>
  <c r="ID13" i="6"/>
  <c r="IC13" i="6"/>
  <c r="IB13" i="6"/>
  <c r="IA13" i="6"/>
  <c r="HZ13" i="6"/>
  <c r="HY13" i="6"/>
  <c r="HX13" i="6"/>
  <c r="HW13" i="6"/>
  <c r="HV13" i="6"/>
  <c r="HU13" i="6"/>
  <c r="HT13" i="6"/>
  <c r="HS13" i="6"/>
  <c r="HR13" i="6"/>
  <c r="HQ13" i="6"/>
  <c r="HP13" i="6"/>
  <c r="HO13" i="6"/>
  <c r="HN13" i="6"/>
  <c r="HM13" i="6"/>
  <c r="HL13" i="6"/>
  <c r="HK13" i="6"/>
  <c r="HJ13" i="6"/>
  <c r="HI13" i="6"/>
  <c r="HH13" i="6"/>
  <c r="HG13" i="6"/>
  <c r="HF13" i="6"/>
  <c r="HE13" i="6"/>
  <c r="HD13" i="6"/>
  <c r="HC13" i="6"/>
  <c r="HB13" i="6"/>
  <c r="HA13" i="6"/>
  <c r="GZ13" i="6"/>
  <c r="GY13" i="6"/>
  <c r="GX13" i="6"/>
  <c r="GW13" i="6"/>
  <c r="GV13" i="6"/>
  <c r="GU13" i="6"/>
  <c r="GT13" i="6"/>
  <c r="GS13" i="6"/>
  <c r="GR13" i="6"/>
  <c r="GQ13" i="6"/>
  <c r="GP13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G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13" i="6"/>
  <c r="IV12" i="6"/>
  <c r="IU12" i="6"/>
  <c r="IT12" i="6"/>
  <c r="IS12" i="6"/>
  <c r="IR12" i="6"/>
  <c r="IQ12" i="6"/>
  <c r="IP12" i="6"/>
  <c r="IO12" i="6"/>
  <c r="IN12" i="6"/>
  <c r="IM12" i="6"/>
  <c r="IL12" i="6"/>
  <c r="IK12" i="6"/>
  <c r="IJ12" i="6"/>
  <c r="II12" i="6"/>
  <c r="IH12" i="6"/>
  <c r="IG12" i="6"/>
  <c r="IF12" i="6"/>
  <c r="IE12" i="6"/>
  <c r="ID12" i="6"/>
  <c r="IC12" i="6"/>
  <c r="IB12" i="6"/>
  <c r="IA12" i="6"/>
  <c r="HZ12" i="6"/>
  <c r="HY12" i="6"/>
  <c r="HX12" i="6"/>
  <c r="HW12" i="6"/>
  <c r="HV12" i="6"/>
  <c r="HU12" i="6"/>
  <c r="HT12" i="6"/>
  <c r="HS12" i="6"/>
  <c r="HR12" i="6"/>
  <c r="HQ12" i="6"/>
  <c r="HP12" i="6"/>
  <c r="HO12" i="6"/>
  <c r="HN12" i="6"/>
  <c r="HM12" i="6"/>
  <c r="HL12" i="6"/>
  <c r="HK12" i="6"/>
  <c r="HJ12" i="6"/>
  <c r="HI12" i="6"/>
  <c r="HH12" i="6"/>
  <c r="HG12" i="6"/>
  <c r="HF12" i="6"/>
  <c r="HE12" i="6"/>
  <c r="HD12" i="6"/>
  <c r="HC12" i="6"/>
  <c r="HB12" i="6"/>
  <c r="HA12" i="6"/>
  <c r="GZ12" i="6"/>
  <c r="GY12" i="6"/>
  <c r="GX12" i="6"/>
  <c r="GW12" i="6"/>
  <c r="GV12" i="6"/>
  <c r="GU12" i="6"/>
  <c r="GT12" i="6"/>
  <c r="GS12" i="6"/>
  <c r="GR12" i="6"/>
  <c r="GQ12" i="6"/>
  <c r="GP12" i="6"/>
  <c r="GO12" i="6"/>
  <c r="GN12" i="6"/>
  <c r="GM12" i="6"/>
  <c r="GL12" i="6"/>
  <c r="GK12" i="6"/>
  <c r="GJ12" i="6"/>
  <c r="GI12" i="6"/>
  <c r="GH12" i="6"/>
  <c r="GG12" i="6"/>
  <c r="GF12" i="6"/>
  <c r="GE12" i="6"/>
  <c r="GD12" i="6"/>
  <c r="GC12" i="6"/>
  <c r="GB12" i="6"/>
  <c r="GA12" i="6"/>
  <c r="FZ12" i="6"/>
  <c r="FY12" i="6"/>
  <c r="FX12" i="6"/>
  <c r="FW12" i="6"/>
  <c r="FV12" i="6"/>
  <c r="FU12" i="6"/>
  <c r="FT12" i="6"/>
  <c r="FS12" i="6"/>
  <c r="FR12" i="6"/>
  <c r="FQ12" i="6"/>
  <c r="FP12" i="6"/>
  <c r="FO12" i="6"/>
  <c r="FN12" i="6"/>
  <c r="FM12" i="6"/>
  <c r="FL12" i="6"/>
  <c r="FK12" i="6"/>
  <c r="FJ12" i="6"/>
  <c r="FI12" i="6"/>
  <c r="FH12" i="6"/>
  <c r="FG12" i="6"/>
  <c r="FF12" i="6"/>
  <c r="FE12" i="6"/>
  <c r="FD12" i="6"/>
  <c r="FC12" i="6"/>
  <c r="FB12" i="6"/>
  <c r="FA12" i="6"/>
  <c r="EZ12" i="6"/>
  <c r="EY12" i="6"/>
  <c r="EX12" i="6"/>
  <c r="EW12" i="6"/>
  <c r="EV12" i="6"/>
  <c r="EU12" i="6"/>
  <c r="ET12" i="6"/>
  <c r="ES12" i="6"/>
  <c r="ER12" i="6"/>
  <c r="EQ12" i="6"/>
  <c r="EP12" i="6"/>
  <c r="EO12" i="6"/>
  <c r="EN12" i="6"/>
  <c r="EM12" i="6"/>
  <c r="EL12" i="6"/>
  <c r="EK12" i="6"/>
  <c r="EJ12" i="6"/>
  <c r="EI12" i="6"/>
  <c r="EH12" i="6"/>
  <c r="EG12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L12" i="6"/>
  <c r="DK12" i="6"/>
  <c r="DJ12" i="6"/>
  <c r="DI12" i="6"/>
  <c r="DH12" i="6"/>
  <c r="DG12" i="6"/>
  <c r="DF12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12" i="6"/>
  <c r="IV11" i="6"/>
  <c r="IU11" i="6"/>
  <c r="IT11" i="6"/>
  <c r="IS11" i="6"/>
  <c r="IR11" i="6"/>
  <c r="IQ11" i="6"/>
  <c r="IP11" i="6"/>
  <c r="IO11" i="6"/>
  <c r="IN11" i="6"/>
  <c r="IM11" i="6"/>
  <c r="IL11" i="6"/>
  <c r="IK11" i="6"/>
  <c r="IJ11" i="6"/>
  <c r="II11" i="6"/>
  <c r="IH11" i="6"/>
  <c r="IG11" i="6"/>
  <c r="IF11" i="6"/>
  <c r="IE11" i="6"/>
  <c r="ID11" i="6"/>
  <c r="IC11" i="6"/>
  <c r="IB11" i="6"/>
  <c r="IA11" i="6"/>
  <c r="HZ11" i="6"/>
  <c r="HY11" i="6"/>
  <c r="HX11" i="6"/>
  <c r="HW11" i="6"/>
  <c r="HV11" i="6"/>
  <c r="HU11" i="6"/>
  <c r="HT11" i="6"/>
  <c r="HS11" i="6"/>
  <c r="HR11" i="6"/>
  <c r="HQ11" i="6"/>
  <c r="HP11" i="6"/>
  <c r="HO11" i="6"/>
  <c r="HN11" i="6"/>
  <c r="HM11" i="6"/>
  <c r="HL11" i="6"/>
  <c r="HK11" i="6"/>
  <c r="HJ11" i="6"/>
  <c r="HI11" i="6"/>
  <c r="HH11" i="6"/>
  <c r="HG11" i="6"/>
  <c r="HF11" i="6"/>
  <c r="HE11" i="6"/>
  <c r="HD11" i="6"/>
  <c r="HC11" i="6"/>
  <c r="HB11" i="6"/>
  <c r="HA11" i="6"/>
  <c r="GZ11" i="6"/>
  <c r="GY11" i="6"/>
  <c r="GX11" i="6"/>
  <c r="GW11" i="6"/>
  <c r="GV11" i="6"/>
  <c r="GU11" i="6"/>
  <c r="GT11" i="6"/>
  <c r="GS11" i="6"/>
  <c r="GR11" i="6"/>
  <c r="GQ11" i="6"/>
  <c r="GP11" i="6"/>
  <c r="GO11" i="6"/>
  <c r="GN11" i="6"/>
  <c r="GM11" i="6"/>
  <c r="GL11" i="6"/>
  <c r="GK11" i="6"/>
  <c r="GJ11" i="6"/>
  <c r="GI11" i="6"/>
  <c r="GH11" i="6"/>
  <c r="GG11" i="6"/>
  <c r="GF11" i="6"/>
  <c r="GE11" i="6"/>
  <c r="GD11" i="6"/>
  <c r="GC11" i="6"/>
  <c r="GB11" i="6"/>
  <c r="GA11" i="6"/>
  <c r="FZ11" i="6"/>
  <c r="FY11" i="6"/>
  <c r="FX11" i="6"/>
  <c r="FW11" i="6"/>
  <c r="FV11" i="6"/>
  <c r="FU11" i="6"/>
  <c r="FT11" i="6"/>
  <c r="FS11" i="6"/>
  <c r="FR11" i="6"/>
  <c r="FQ11" i="6"/>
  <c r="FP11" i="6"/>
  <c r="FO11" i="6"/>
  <c r="FN11" i="6"/>
  <c r="FM11" i="6"/>
  <c r="FL11" i="6"/>
  <c r="FK11" i="6"/>
  <c r="FJ11" i="6"/>
  <c r="FI11" i="6"/>
  <c r="FH11" i="6"/>
  <c r="FG11" i="6"/>
  <c r="FF11" i="6"/>
  <c r="FE11" i="6"/>
  <c r="FD11" i="6"/>
  <c r="FC11" i="6"/>
  <c r="FB11" i="6"/>
  <c r="FA11" i="6"/>
  <c r="EZ11" i="6"/>
  <c r="EY11" i="6"/>
  <c r="EX11" i="6"/>
  <c r="EW11" i="6"/>
  <c r="EV11" i="6"/>
  <c r="EU11" i="6"/>
  <c r="ET11" i="6"/>
  <c r="ES11" i="6"/>
  <c r="ER11" i="6"/>
  <c r="EQ11" i="6"/>
  <c r="EP11" i="6"/>
  <c r="EO11" i="6"/>
  <c r="EN11" i="6"/>
  <c r="EM11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DK11" i="6"/>
  <c r="DJ11" i="6"/>
  <c r="DI11" i="6"/>
  <c r="DH11" i="6"/>
  <c r="DG11" i="6"/>
  <c r="DF11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IV10" i="6"/>
  <c r="IU10" i="6"/>
  <c r="IT10" i="6"/>
  <c r="IS10" i="6"/>
  <c r="IR10" i="6"/>
  <c r="IQ10" i="6"/>
  <c r="IP10" i="6"/>
  <c r="IO10" i="6"/>
  <c r="IN10" i="6"/>
  <c r="IM10" i="6"/>
  <c r="IL10" i="6"/>
  <c r="IK10" i="6"/>
  <c r="IJ10" i="6"/>
  <c r="II10" i="6"/>
  <c r="IH10" i="6"/>
  <c r="IG10" i="6"/>
  <c r="IF10" i="6"/>
  <c r="IE10" i="6"/>
  <c r="ID10" i="6"/>
  <c r="IC10" i="6"/>
  <c r="IB10" i="6"/>
  <c r="IA10" i="6"/>
  <c r="HZ10" i="6"/>
  <c r="HY10" i="6"/>
  <c r="HX10" i="6"/>
  <c r="HW10" i="6"/>
  <c r="HV10" i="6"/>
  <c r="HU10" i="6"/>
  <c r="HT10" i="6"/>
  <c r="HS10" i="6"/>
  <c r="HR10" i="6"/>
  <c r="HQ10" i="6"/>
  <c r="HP10" i="6"/>
  <c r="HO10" i="6"/>
  <c r="HN10" i="6"/>
  <c r="HM10" i="6"/>
  <c r="HL10" i="6"/>
  <c r="HK10" i="6"/>
  <c r="HJ10" i="6"/>
  <c r="HI10" i="6"/>
  <c r="HH10" i="6"/>
  <c r="HG10" i="6"/>
  <c r="HF10" i="6"/>
  <c r="HE10" i="6"/>
  <c r="HD10" i="6"/>
  <c r="HC10" i="6"/>
  <c r="HB10" i="6"/>
  <c r="HA10" i="6"/>
  <c r="GZ10" i="6"/>
  <c r="GY10" i="6"/>
  <c r="GX10" i="6"/>
  <c r="GW10" i="6"/>
  <c r="GV10" i="6"/>
  <c r="GU10" i="6"/>
  <c r="GT10" i="6"/>
  <c r="GS10" i="6"/>
  <c r="GR10" i="6"/>
  <c r="GQ10" i="6"/>
  <c r="GP10" i="6"/>
  <c r="GO10" i="6"/>
  <c r="GN10" i="6"/>
  <c r="GM10" i="6"/>
  <c r="GL10" i="6"/>
  <c r="GK10" i="6"/>
  <c r="GJ10" i="6"/>
  <c r="GI10" i="6"/>
  <c r="GH10" i="6"/>
  <c r="GG10" i="6"/>
  <c r="GF10" i="6"/>
  <c r="GE10" i="6"/>
  <c r="GD10" i="6"/>
  <c r="GC10" i="6"/>
  <c r="GB10" i="6"/>
  <c r="GA10" i="6"/>
  <c r="FZ10" i="6"/>
  <c r="FY10" i="6"/>
  <c r="FX10" i="6"/>
  <c r="FW10" i="6"/>
  <c r="FV10" i="6"/>
  <c r="FU10" i="6"/>
  <c r="FT10" i="6"/>
  <c r="FS10" i="6"/>
  <c r="FR10" i="6"/>
  <c r="FQ10" i="6"/>
  <c r="FP10" i="6"/>
  <c r="FO10" i="6"/>
  <c r="FN10" i="6"/>
  <c r="FM10" i="6"/>
  <c r="FL10" i="6"/>
  <c r="FK10" i="6"/>
  <c r="FJ10" i="6"/>
  <c r="FI10" i="6"/>
  <c r="FH10" i="6"/>
  <c r="FG10" i="6"/>
  <c r="FF10" i="6"/>
  <c r="FE10" i="6"/>
  <c r="FD10" i="6"/>
  <c r="FC10" i="6"/>
  <c r="FB10" i="6"/>
  <c r="FA10" i="6"/>
  <c r="EZ10" i="6"/>
  <c r="EY10" i="6"/>
  <c r="EX10" i="6"/>
  <c r="EW10" i="6"/>
  <c r="EV10" i="6"/>
  <c r="EU10" i="6"/>
  <c r="ET10" i="6"/>
  <c r="ES10" i="6"/>
  <c r="ER10" i="6"/>
  <c r="EQ10" i="6"/>
  <c r="EP10" i="6"/>
  <c r="EO10" i="6"/>
  <c r="EN10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DK10" i="6"/>
  <c r="DJ10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IV9" i="6"/>
  <c r="IU9" i="6"/>
  <c r="IT9" i="6"/>
  <c r="IS9" i="6"/>
  <c r="IR9" i="6"/>
  <c r="IQ9" i="6"/>
  <c r="IP9" i="6"/>
  <c r="IO9" i="6"/>
  <c r="IN9" i="6"/>
  <c r="IM9" i="6"/>
  <c r="IL9" i="6"/>
  <c r="IK9" i="6"/>
  <c r="IJ9" i="6"/>
  <c r="II9" i="6"/>
  <c r="IH9" i="6"/>
  <c r="IG9" i="6"/>
  <c r="IF9" i="6"/>
  <c r="IE9" i="6"/>
  <c r="ID9" i="6"/>
  <c r="IC9" i="6"/>
  <c r="IB9" i="6"/>
  <c r="IA9" i="6"/>
  <c r="HZ9" i="6"/>
  <c r="HY9" i="6"/>
  <c r="HX9" i="6"/>
  <c r="HW9" i="6"/>
  <c r="HV9" i="6"/>
  <c r="HU9" i="6"/>
  <c r="HT9" i="6"/>
  <c r="HS9" i="6"/>
  <c r="HR9" i="6"/>
  <c r="HQ9" i="6"/>
  <c r="HP9" i="6"/>
  <c r="HO9" i="6"/>
  <c r="HN9" i="6"/>
  <c r="HM9" i="6"/>
  <c r="HL9" i="6"/>
  <c r="HK9" i="6"/>
  <c r="HJ9" i="6"/>
  <c r="HI9" i="6"/>
  <c r="HH9" i="6"/>
  <c r="HG9" i="6"/>
  <c r="HF9" i="6"/>
  <c r="HE9" i="6"/>
  <c r="HD9" i="6"/>
  <c r="HC9" i="6"/>
  <c r="HB9" i="6"/>
  <c r="HA9" i="6"/>
  <c r="GZ9" i="6"/>
  <c r="GY9" i="6"/>
  <c r="GX9" i="6"/>
  <c r="GW9" i="6"/>
  <c r="GV9" i="6"/>
  <c r="GU9" i="6"/>
  <c r="GT9" i="6"/>
  <c r="GS9" i="6"/>
  <c r="GR9" i="6"/>
  <c r="GQ9" i="6"/>
  <c r="GP9" i="6"/>
  <c r="GO9" i="6"/>
  <c r="GN9" i="6"/>
  <c r="GM9" i="6"/>
  <c r="GL9" i="6"/>
  <c r="GK9" i="6"/>
  <c r="GJ9" i="6"/>
  <c r="GI9" i="6"/>
  <c r="GH9" i="6"/>
  <c r="GG9" i="6"/>
  <c r="GF9" i="6"/>
  <c r="GE9" i="6"/>
  <c r="GD9" i="6"/>
  <c r="GC9" i="6"/>
  <c r="GB9" i="6"/>
  <c r="GA9" i="6"/>
  <c r="FZ9" i="6"/>
  <c r="FY9" i="6"/>
  <c r="FX9" i="6"/>
  <c r="FW9" i="6"/>
  <c r="FV9" i="6"/>
  <c r="FU9" i="6"/>
  <c r="FT9" i="6"/>
  <c r="FS9" i="6"/>
  <c r="FR9" i="6"/>
  <c r="FQ9" i="6"/>
  <c r="FP9" i="6"/>
  <c r="FO9" i="6"/>
  <c r="FN9" i="6"/>
  <c r="FM9" i="6"/>
  <c r="FL9" i="6"/>
  <c r="FK9" i="6"/>
  <c r="FJ9" i="6"/>
  <c r="FI9" i="6"/>
  <c r="FH9" i="6"/>
  <c r="FG9" i="6"/>
  <c r="FF9" i="6"/>
  <c r="FE9" i="6"/>
  <c r="FD9" i="6"/>
  <c r="FC9" i="6"/>
  <c r="FB9" i="6"/>
  <c r="FA9" i="6"/>
  <c r="EZ9" i="6"/>
  <c r="EY9" i="6"/>
  <c r="EX9" i="6"/>
  <c r="EW9" i="6"/>
  <c r="EV9" i="6"/>
  <c r="EU9" i="6"/>
  <c r="ET9" i="6"/>
  <c r="ES9" i="6"/>
  <c r="ER9" i="6"/>
  <c r="EQ9" i="6"/>
  <c r="EP9" i="6"/>
  <c r="EO9" i="6"/>
  <c r="EN9" i="6"/>
  <c r="EM9" i="6"/>
  <c r="EL9" i="6"/>
  <c r="EK9" i="6"/>
  <c r="EJ9" i="6"/>
  <c r="EI9" i="6"/>
  <c r="EH9" i="6"/>
  <c r="EG9" i="6"/>
  <c r="EF9" i="6"/>
  <c r="EE9" i="6"/>
  <c r="ED9" i="6"/>
  <c r="EC9" i="6"/>
  <c r="EB9" i="6"/>
  <c r="EA9" i="6"/>
  <c r="DZ9" i="6"/>
  <c r="DY9" i="6"/>
  <c r="DX9" i="6"/>
  <c r="DW9" i="6"/>
  <c r="DV9" i="6"/>
  <c r="DU9" i="6"/>
  <c r="DT9" i="6"/>
  <c r="DS9" i="6"/>
  <c r="DR9" i="6"/>
  <c r="DQ9" i="6"/>
  <c r="DP9" i="6"/>
  <c r="DO9" i="6"/>
  <c r="DN9" i="6"/>
  <c r="DM9" i="6"/>
  <c r="DL9" i="6"/>
  <c r="DK9" i="6"/>
  <c r="DJ9" i="6"/>
  <c r="DI9" i="6"/>
  <c r="DH9" i="6"/>
  <c r="DG9" i="6"/>
  <c r="DF9" i="6"/>
  <c r="DE9" i="6"/>
  <c r="DD9" i="6"/>
  <c r="DC9" i="6"/>
  <c r="DB9" i="6"/>
  <c r="DA9" i="6"/>
  <c r="CZ9" i="6"/>
  <c r="CY9" i="6"/>
  <c r="CX9" i="6"/>
  <c r="CW9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9" i="6"/>
  <c r="IV8" i="6"/>
  <c r="IU8" i="6"/>
  <c r="IT8" i="6"/>
  <c r="IS8" i="6"/>
  <c r="IR8" i="6"/>
  <c r="IQ8" i="6"/>
  <c r="IP8" i="6"/>
  <c r="IO8" i="6"/>
  <c r="IN8" i="6"/>
  <c r="IM8" i="6"/>
  <c r="IL8" i="6"/>
  <c r="IK8" i="6"/>
  <c r="IJ8" i="6"/>
  <c r="II8" i="6"/>
  <c r="IH8" i="6"/>
  <c r="IG8" i="6"/>
  <c r="IF8" i="6"/>
  <c r="IE8" i="6"/>
  <c r="ID8" i="6"/>
  <c r="IC8" i="6"/>
  <c r="IB8" i="6"/>
  <c r="IA8" i="6"/>
  <c r="HZ8" i="6"/>
  <c r="HY8" i="6"/>
  <c r="HX8" i="6"/>
  <c r="HW8" i="6"/>
  <c r="HV8" i="6"/>
  <c r="HU8" i="6"/>
  <c r="HT8" i="6"/>
  <c r="HS8" i="6"/>
  <c r="HR8" i="6"/>
  <c r="HQ8" i="6"/>
  <c r="HP8" i="6"/>
  <c r="HO8" i="6"/>
  <c r="HN8" i="6"/>
  <c r="HM8" i="6"/>
  <c r="HL8" i="6"/>
  <c r="HK8" i="6"/>
  <c r="HJ8" i="6"/>
  <c r="HI8" i="6"/>
  <c r="HH8" i="6"/>
  <c r="HG8" i="6"/>
  <c r="HF8" i="6"/>
  <c r="HE8" i="6"/>
  <c r="HD8" i="6"/>
  <c r="HC8" i="6"/>
  <c r="HB8" i="6"/>
  <c r="HA8" i="6"/>
  <c r="GZ8" i="6"/>
  <c r="GY8" i="6"/>
  <c r="GX8" i="6"/>
  <c r="GW8" i="6"/>
  <c r="GV8" i="6"/>
  <c r="GU8" i="6"/>
  <c r="GT8" i="6"/>
  <c r="GS8" i="6"/>
  <c r="GR8" i="6"/>
  <c r="GQ8" i="6"/>
  <c r="GP8" i="6"/>
  <c r="GO8" i="6"/>
  <c r="GN8" i="6"/>
  <c r="GM8" i="6"/>
  <c r="GL8" i="6"/>
  <c r="GK8" i="6"/>
  <c r="GJ8" i="6"/>
  <c r="GI8" i="6"/>
  <c r="GH8" i="6"/>
  <c r="GG8" i="6"/>
  <c r="GF8" i="6"/>
  <c r="GE8" i="6"/>
  <c r="GD8" i="6"/>
  <c r="GC8" i="6"/>
  <c r="GB8" i="6"/>
  <c r="GA8" i="6"/>
  <c r="FZ8" i="6"/>
  <c r="FY8" i="6"/>
  <c r="FX8" i="6"/>
  <c r="FW8" i="6"/>
  <c r="FV8" i="6"/>
  <c r="FU8" i="6"/>
  <c r="FT8" i="6"/>
  <c r="FS8" i="6"/>
  <c r="FR8" i="6"/>
  <c r="FQ8" i="6"/>
  <c r="FP8" i="6"/>
  <c r="FO8" i="6"/>
  <c r="FN8" i="6"/>
  <c r="FM8" i="6"/>
  <c r="FL8" i="6"/>
  <c r="FK8" i="6"/>
  <c r="FJ8" i="6"/>
  <c r="FI8" i="6"/>
  <c r="FH8" i="6"/>
  <c r="FG8" i="6"/>
  <c r="FF8" i="6"/>
  <c r="FE8" i="6"/>
  <c r="FD8" i="6"/>
  <c r="FC8" i="6"/>
  <c r="FB8" i="6"/>
  <c r="FA8" i="6"/>
  <c r="EZ8" i="6"/>
  <c r="EY8" i="6"/>
  <c r="EX8" i="6"/>
  <c r="EW8" i="6"/>
  <c r="EV8" i="6"/>
  <c r="EU8" i="6"/>
  <c r="ET8" i="6"/>
  <c r="ES8" i="6"/>
  <c r="ER8" i="6"/>
  <c r="EQ8" i="6"/>
  <c r="EP8" i="6"/>
  <c r="EO8" i="6"/>
  <c r="EN8" i="6"/>
  <c r="EM8" i="6"/>
  <c r="EL8" i="6"/>
  <c r="EK8" i="6"/>
  <c r="EJ8" i="6"/>
  <c r="EI8" i="6"/>
  <c r="EH8" i="6"/>
  <c r="EG8" i="6"/>
  <c r="EF8" i="6"/>
  <c r="EE8" i="6"/>
  <c r="ED8" i="6"/>
  <c r="EC8" i="6"/>
  <c r="EB8" i="6"/>
  <c r="EA8" i="6"/>
  <c r="DZ8" i="6"/>
  <c r="DY8" i="6"/>
  <c r="DX8" i="6"/>
  <c r="DW8" i="6"/>
  <c r="DV8" i="6"/>
  <c r="DU8" i="6"/>
  <c r="DT8" i="6"/>
  <c r="DS8" i="6"/>
  <c r="DR8" i="6"/>
  <c r="DQ8" i="6"/>
  <c r="DP8" i="6"/>
  <c r="DO8" i="6"/>
  <c r="DN8" i="6"/>
  <c r="DM8" i="6"/>
  <c r="DL8" i="6"/>
  <c r="DK8" i="6"/>
  <c r="DJ8" i="6"/>
  <c r="DI8" i="6"/>
  <c r="DH8" i="6"/>
  <c r="DG8" i="6"/>
  <c r="DF8" i="6"/>
  <c r="DE8" i="6"/>
  <c r="DD8" i="6"/>
  <c r="DC8" i="6"/>
  <c r="DB8" i="6"/>
  <c r="DA8" i="6"/>
  <c r="CZ8" i="6"/>
  <c r="CY8" i="6"/>
  <c r="CX8" i="6"/>
  <c r="CW8" i="6"/>
  <c r="CV8" i="6"/>
  <c r="CU8" i="6"/>
  <c r="CT8" i="6"/>
  <c r="CS8" i="6"/>
  <c r="CR8" i="6"/>
  <c r="CQ8" i="6"/>
  <c r="CP8" i="6"/>
  <c r="CO8" i="6"/>
  <c r="CN8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8" i="6"/>
  <c r="IV7" i="6"/>
  <c r="IU7" i="6"/>
  <c r="IT7" i="6"/>
  <c r="IS7" i="6"/>
  <c r="IR7" i="6"/>
  <c r="IQ7" i="6"/>
  <c r="IP7" i="6"/>
  <c r="IO7" i="6"/>
  <c r="IN7" i="6"/>
  <c r="IM7" i="6"/>
  <c r="IL7" i="6"/>
  <c r="IK7" i="6"/>
  <c r="IJ7" i="6"/>
  <c r="II7" i="6"/>
  <c r="IH7" i="6"/>
  <c r="IG7" i="6"/>
  <c r="IF7" i="6"/>
  <c r="IE7" i="6"/>
  <c r="ID7" i="6"/>
  <c r="IC7" i="6"/>
  <c r="IB7" i="6"/>
  <c r="IA7" i="6"/>
  <c r="HZ7" i="6"/>
  <c r="HY7" i="6"/>
  <c r="HX7" i="6"/>
  <c r="HW7" i="6"/>
  <c r="HV7" i="6"/>
  <c r="HU7" i="6"/>
  <c r="HT7" i="6"/>
  <c r="HS7" i="6"/>
  <c r="HR7" i="6"/>
  <c r="HQ7" i="6"/>
  <c r="HP7" i="6"/>
  <c r="HO7" i="6"/>
  <c r="HN7" i="6"/>
  <c r="HM7" i="6"/>
  <c r="HL7" i="6"/>
  <c r="HK7" i="6"/>
  <c r="HJ7" i="6"/>
  <c r="HI7" i="6"/>
  <c r="HH7" i="6"/>
  <c r="HG7" i="6"/>
  <c r="HF7" i="6"/>
  <c r="HE7" i="6"/>
  <c r="HD7" i="6"/>
  <c r="HC7" i="6"/>
  <c r="HB7" i="6"/>
  <c r="HA7" i="6"/>
  <c r="GZ7" i="6"/>
  <c r="GY7" i="6"/>
  <c r="GX7" i="6"/>
  <c r="GW7" i="6"/>
  <c r="GV7" i="6"/>
  <c r="GU7" i="6"/>
  <c r="GT7" i="6"/>
  <c r="GS7" i="6"/>
  <c r="GR7" i="6"/>
  <c r="GQ7" i="6"/>
  <c r="GP7" i="6"/>
  <c r="GO7" i="6"/>
  <c r="GN7" i="6"/>
  <c r="GM7" i="6"/>
  <c r="GL7" i="6"/>
  <c r="GK7" i="6"/>
  <c r="GJ7" i="6"/>
  <c r="GI7" i="6"/>
  <c r="GH7" i="6"/>
  <c r="GG7" i="6"/>
  <c r="GF7" i="6"/>
  <c r="GE7" i="6"/>
  <c r="GD7" i="6"/>
  <c r="GC7" i="6"/>
  <c r="GB7" i="6"/>
  <c r="GA7" i="6"/>
  <c r="FZ7" i="6"/>
  <c r="FY7" i="6"/>
  <c r="FX7" i="6"/>
  <c r="FW7" i="6"/>
  <c r="FV7" i="6"/>
  <c r="FU7" i="6"/>
  <c r="FT7" i="6"/>
  <c r="FS7" i="6"/>
  <c r="FR7" i="6"/>
  <c r="FQ7" i="6"/>
  <c r="FP7" i="6"/>
  <c r="FO7" i="6"/>
  <c r="FN7" i="6"/>
  <c r="FM7" i="6"/>
  <c r="FL7" i="6"/>
  <c r="FK7" i="6"/>
  <c r="FJ7" i="6"/>
  <c r="FI7" i="6"/>
  <c r="FH7" i="6"/>
  <c r="FG7" i="6"/>
  <c r="FF7" i="6"/>
  <c r="FE7" i="6"/>
  <c r="FD7" i="6"/>
  <c r="FC7" i="6"/>
  <c r="FB7" i="6"/>
  <c r="FA7" i="6"/>
  <c r="EZ7" i="6"/>
  <c r="EY7" i="6"/>
  <c r="EX7" i="6"/>
  <c r="EW7" i="6"/>
  <c r="EV7" i="6"/>
  <c r="EU7" i="6"/>
  <c r="ET7" i="6"/>
  <c r="ES7" i="6"/>
  <c r="ER7" i="6"/>
  <c r="EQ7" i="6"/>
  <c r="EP7" i="6"/>
  <c r="EO7" i="6"/>
  <c r="EN7" i="6"/>
  <c r="EM7" i="6"/>
  <c r="EL7" i="6"/>
  <c r="EK7" i="6"/>
  <c r="EJ7" i="6"/>
  <c r="EI7" i="6"/>
  <c r="EH7" i="6"/>
  <c r="EG7" i="6"/>
  <c r="EF7" i="6"/>
  <c r="EE7" i="6"/>
  <c r="ED7" i="6"/>
  <c r="EC7" i="6"/>
  <c r="EB7" i="6"/>
  <c r="EA7" i="6"/>
  <c r="DZ7" i="6"/>
  <c r="DY7" i="6"/>
  <c r="DX7" i="6"/>
  <c r="DW7" i="6"/>
  <c r="DV7" i="6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7" i="6"/>
  <c r="IV6" i="6"/>
  <c r="IU6" i="6"/>
  <c r="IT6" i="6"/>
  <c r="IS6" i="6"/>
  <c r="IR6" i="6"/>
  <c r="IQ6" i="6"/>
  <c r="IP6" i="6"/>
  <c r="IO6" i="6"/>
  <c r="IN6" i="6"/>
  <c r="IM6" i="6"/>
  <c r="IL6" i="6"/>
  <c r="IK6" i="6"/>
  <c r="IJ6" i="6"/>
  <c r="II6" i="6"/>
  <c r="IH6" i="6"/>
  <c r="IG6" i="6"/>
  <c r="IF6" i="6"/>
  <c r="IE6" i="6"/>
  <c r="ID6" i="6"/>
  <c r="IC6" i="6"/>
  <c r="IB6" i="6"/>
  <c r="IA6" i="6"/>
  <c r="HZ6" i="6"/>
  <c r="HY6" i="6"/>
  <c r="HX6" i="6"/>
  <c r="HW6" i="6"/>
  <c r="HV6" i="6"/>
  <c r="HU6" i="6"/>
  <c r="HT6" i="6"/>
  <c r="HS6" i="6"/>
  <c r="HR6" i="6"/>
  <c r="HQ6" i="6"/>
  <c r="HP6" i="6"/>
  <c r="HO6" i="6"/>
  <c r="HN6" i="6"/>
  <c r="HM6" i="6"/>
  <c r="HL6" i="6"/>
  <c r="HK6" i="6"/>
  <c r="HJ6" i="6"/>
  <c r="HI6" i="6"/>
  <c r="HH6" i="6"/>
  <c r="HG6" i="6"/>
  <c r="HF6" i="6"/>
  <c r="HE6" i="6"/>
  <c r="HD6" i="6"/>
  <c r="HC6" i="6"/>
  <c r="HB6" i="6"/>
  <c r="HA6" i="6"/>
  <c r="GZ6" i="6"/>
  <c r="GY6" i="6"/>
  <c r="GX6" i="6"/>
  <c r="GW6" i="6"/>
  <c r="GV6" i="6"/>
  <c r="GU6" i="6"/>
  <c r="GT6" i="6"/>
  <c r="GS6" i="6"/>
  <c r="GR6" i="6"/>
  <c r="GQ6" i="6"/>
  <c r="GP6" i="6"/>
  <c r="GO6" i="6"/>
  <c r="GN6" i="6"/>
  <c r="GM6" i="6"/>
  <c r="GL6" i="6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6" i="6"/>
  <c r="IV5" i="6"/>
  <c r="IU5" i="6"/>
  <c r="IT5" i="6"/>
  <c r="IS5" i="6"/>
  <c r="IR5" i="6"/>
  <c r="IQ5" i="6"/>
  <c r="IP5" i="6"/>
  <c r="IO5" i="6"/>
  <c r="IN5" i="6"/>
  <c r="IM5" i="6"/>
  <c r="IL5" i="6"/>
  <c r="IK5" i="6"/>
  <c r="IJ5" i="6"/>
  <c r="II5" i="6"/>
  <c r="IH5" i="6"/>
  <c r="IG5" i="6"/>
  <c r="IF5" i="6"/>
  <c r="IE5" i="6"/>
  <c r="ID5" i="6"/>
  <c r="IC5" i="6"/>
  <c r="IB5" i="6"/>
  <c r="IA5" i="6"/>
  <c r="HZ5" i="6"/>
  <c r="HY5" i="6"/>
  <c r="HX5" i="6"/>
  <c r="HW5" i="6"/>
  <c r="HV5" i="6"/>
  <c r="HU5" i="6"/>
  <c r="HT5" i="6"/>
  <c r="HS5" i="6"/>
  <c r="HR5" i="6"/>
  <c r="HQ5" i="6"/>
  <c r="HP5" i="6"/>
  <c r="HO5" i="6"/>
  <c r="HN5" i="6"/>
  <c r="HM5" i="6"/>
  <c r="HL5" i="6"/>
  <c r="HK5" i="6"/>
  <c r="HJ5" i="6"/>
  <c r="HI5" i="6"/>
  <c r="HH5" i="6"/>
  <c r="HG5" i="6"/>
  <c r="HF5" i="6"/>
  <c r="HE5" i="6"/>
  <c r="HD5" i="6"/>
  <c r="HC5" i="6"/>
  <c r="HB5" i="6"/>
  <c r="HA5" i="6"/>
  <c r="GZ5" i="6"/>
  <c r="GY5" i="6"/>
  <c r="GX5" i="6"/>
  <c r="GW5" i="6"/>
  <c r="GV5" i="6"/>
  <c r="GU5" i="6"/>
  <c r="GT5" i="6"/>
  <c r="GS5" i="6"/>
  <c r="GR5" i="6"/>
  <c r="GQ5" i="6"/>
  <c r="GP5" i="6"/>
  <c r="GO5" i="6"/>
  <c r="GN5" i="6"/>
  <c r="GM5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5" i="6"/>
  <c r="IV4" i="6"/>
  <c r="IU4" i="6"/>
  <c r="IT4" i="6"/>
  <c r="IS4" i="6"/>
  <c r="IR4" i="6"/>
  <c r="IQ4" i="6"/>
  <c r="IP4" i="6"/>
  <c r="IO4" i="6"/>
  <c r="IN4" i="6"/>
  <c r="IM4" i="6"/>
  <c r="IL4" i="6"/>
  <c r="IK4" i="6"/>
  <c r="IJ4" i="6"/>
  <c r="II4" i="6"/>
  <c r="IH4" i="6"/>
  <c r="IG4" i="6"/>
  <c r="IF4" i="6"/>
  <c r="IE4" i="6"/>
  <c r="ID4" i="6"/>
  <c r="IC4" i="6"/>
  <c r="IB4" i="6"/>
  <c r="IA4" i="6"/>
  <c r="HZ4" i="6"/>
  <c r="HY4" i="6"/>
  <c r="HX4" i="6"/>
  <c r="HW4" i="6"/>
  <c r="HV4" i="6"/>
  <c r="HU4" i="6"/>
  <c r="HT4" i="6"/>
  <c r="HS4" i="6"/>
  <c r="HR4" i="6"/>
  <c r="HQ4" i="6"/>
  <c r="HP4" i="6"/>
  <c r="HO4" i="6"/>
  <c r="HN4" i="6"/>
  <c r="HM4" i="6"/>
  <c r="HL4" i="6"/>
  <c r="HK4" i="6"/>
  <c r="HJ4" i="6"/>
  <c r="HI4" i="6"/>
  <c r="HH4" i="6"/>
  <c r="HG4" i="6"/>
  <c r="HF4" i="6"/>
  <c r="HE4" i="6"/>
  <c r="HD4" i="6"/>
  <c r="HC4" i="6"/>
  <c r="HB4" i="6"/>
  <c r="HA4" i="6"/>
  <c r="GZ4" i="6"/>
  <c r="GY4" i="6"/>
  <c r="GX4" i="6"/>
  <c r="GW4" i="6"/>
  <c r="GV4" i="6"/>
  <c r="GU4" i="6"/>
  <c r="GT4" i="6"/>
  <c r="GS4" i="6"/>
  <c r="GR4" i="6"/>
  <c r="GQ4" i="6"/>
  <c r="GP4" i="6"/>
  <c r="GO4" i="6"/>
  <c r="GN4" i="6"/>
  <c r="GM4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4" i="6"/>
  <c r="IV3" i="6"/>
  <c r="IU3" i="6"/>
  <c r="IT3" i="6"/>
  <c r="IS3" i="6"/>
  <c r="IR3" i="6"/>
  <c r="IQ3" i="6"/>
  <c r="IP3" i="6"/>
  <c r="IO3" i="6"/>
  <c r="IN3" i="6"/>
  <c r="IM3" i="6"/>
  <c r="IL3" i="6"/>
  <c r="IK3" i="6"/>
  <c r="IJ3" i="6"/>
  <c r="II3" i="6"/>
  <c r="IH3" i="6"/>
  <c r="IG3" i="6"/>
  <c r="IF3" i="6"/>
  <c r="IE3" i="6"/>
  <c r="ID3" i="6"/>
  <c r="IC3" i="6"/>
  <c r="IB3" i="6"/>
  <c r="IA3" i="6"/>
  <c r="HZ3" i="6"/>
  <c r="HY3" i="6"/>
  <c r="HX3" i="6"/>
  <c r="HW3" i="6"/>
  <c r="HV3" i="6"/>
  <c r="HU3" i="6"/>
  <c r="HT3" i="6"/>
  <c r="HS3" i="6"/>
  <c r="HR3" i="6"/>
  <c r="HQ3" i="6"/>
  <c r="HP3" i="6"/>
  <c r="HO3" i="6"/>
  <c r="HN3" i="6"/>
  <c r="HM3" i="6"/>
  <c r="HL3" i="6"/>
  <c r="HK3" i="6"/>
  <c r="HJ3" i="6"/>
  <c r="HI3" i="6"/>
  <c r="HH3" i="6"/>
  <c r="HG3" i="6"/>
  <c r="HF3" i="6"/>
  <c r="HE3" i="6"/>
  <c r="HD3" i="6"/>
  <c r="HC3" i="6"/>
  <c r="HB3" i="6"/>
  <c r="HA3" i="6"/>
  <c r="GZ3" i="6"/>
  <c r="GY3" i="6"/>
  <c r="GX3" i="6"/>
  <c r="GW3" i="6"/>
  <c r="GV3" i="6"/>
  <c r="GU3" i="6"/>
  <c r="GT3" i="6"/>
  <c r="GS3" i="6"/>
  <c r="GR3" i="6"/>
  <c r="GQ3" i="6"/>
  <c r="GP3" i="6"/>
  <c r="GO3" i="6"/>
  <c r="GN3" i="6"/>
  <c r="GM3" i="6"/>
  <c r="GL3" i="6"/>
  <c r="GK3" i="6"/>
  <c r="GJ3" i="6"/>
  <c r="GI3" i="6"/>
  <c r="GH3" i="6"/>
  <c r="GG3" i="6"/>
  <c r="GF3" i="6"/>
  <c r="GE3" i="6"/>
  <c r="GD3" i="6"/>
  <c r="GC3" i="6"/>
  <c r="GB3" i="6"/>
  <c r="GA3" i="6"/>
  <c r="FZ3" i="6"/>
  <c r="FY3" i="6"/>
  <c r="FX3" i="6"/>
  <c r="FW3" i="6"/>
  <c r="FV3" i="6"/>
  <c r="FU3" i="6"/>
  <c r="FT3" i="6"/>
  <c r="FS3" i="6"/>
  <c r="FR3" i="6"/>
  <c r="FQ3" i="6"/>
  <c r="FP3" i="6"/>
  <c r="FO3" i="6"/>
  <c r="FN3" i="6"/>
  <c r="FM3" i="6"/>
  <c r="FL3" i="6"/>
  <c r="FK3" i="6"/>
  <c r="FJ3" i="6"/>
  <c r="FI3" i="6"/>
  <c r="FH3" i="6"/>
  <c r="FG3" i="6"/>
  <c r="FF3" i="6"/>
  <c r="FE3" i="6"/>
  <c r="FD3" i="6"/>
  <c r="FC3" i="6"/>
  <c r="FB3" i="6"/>
  <c r="FA3" i="6"/>
  <c r="EZ3" i="6"/>
  <c r="EY3" i="6"/>
  <c r="EX3" i="6"/>
  <c r="EW3" i="6"/>
  <c r="EV3" i="6"/>
  <c r="EU3" i="6"/>
  <c r="ET3" i="6"/>
  <c r="ES3" i="6"/>
  <c r="ER3" i="6"/>
  <c r="EQ3" i="6"/>
  <c r="EP3" i="6"/>
  <c r="EO3" i="6"/>
  <c r="EN3" i="6"/>
  <c r="EM3" i="6"/>
  <c r="EL3" i="6"/>
  <c r="EK3" i="6"/>
  <c r="EJ3" i="6"/>
  <c r="EI3" i="6"/>
  <c r="EH3" i="6"/>
  <c r="EG3" i="6"/>
  <c r="EF3" i="6"/>
  <c r="EE3" i="6"/>
  <c r="ED3" i="6"/>
  <c r="EC3" i="6"/>
  <c r="EB3" i="6"/>
  <c r="EA3" i="6"/>
  <c r="DZ3" i="6"/>
  <c r="DY3" i="6"/>
  <c r="DX3" i="6"/>
  <c r="DW3" i="6"/>
  <c r="DV3" i="6"/>
  <c r="DU3" i="6"/>
  <c r="DT3" i="6"/>
  <c r="DS3" i="6"/>
  <c r="DR3" i="6"/>
  <c r="DQ3" i="6"/>
  <c r="DP3" i="6"/>
  <c r="DO3" i="6"/>
  <c r="DN3" i="6"/>
  <c r="DM3" i="6"/>
  <c r="DL3" i="6"/>
  <c r="DK3" i="6"/>
  <c r="DJ3" i="6"/>
  <c r="DI3" i="6"/>
  <c r="DH3" i="6"/>
  <c r="DG3" i="6"/>
  <c r="DF3" i="6"/>
  <c r="DE3" i="6"/>
  <c r="DD3" i="6"/>
  <c r="DC3" i="6"/>
  <c r="DB3" i="6"/>
  <c r="DA3" i="6"/>
  <c r="CZ3" i="6"/>
  <c r="CY3" i="6"/>
  <c r="CX3" i="6"/>
  <c r="CW3" i="6"/>
  <c r="CV3" i="6"/>
  <c r="CU3" i="6"/>
  <c r="CT3" i="6"/>
  <c r="CS3" i="6"/>
  <c r="CR3" i="6"/>
  <c r="CQ3" i="6"/>
  <c r="CP3" i="6"/>
  <c r="CO3" i="6"/>
  <c r="CN3" i="6"/>
  <c r="CM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  <c r="IV2" i="6"/>
  <c r="IU2" i="6"/>
  <c r="IT2" i="6"/>
  <c r="IS2" i="6"/>
  <c r="IR2" i="6"/>
  <c r="IQ2" i="6"/>
  <c r="IP2" i="6"/>
  <c r="IO2" i="6"/>
  <c r="IN2" i="6"/>
  <c r="IM2" i="6"/>
  <c r="IL2" i="6"/>
  <c r="IK2" i="6"/>
  <c r="IJ2" i="6"/>
  <c r="II2" i="6"/>
  <c r="IH2" i="6"/>
  <c r="IG2" i="6"/>
  <c r="IF2" i="6"/>
  <c r="IE2" i="6"/>
  <c r="ID2" i="6"/>
  <c r="IC2" i="6"/>
  <c r="IB2" i="6"/>
  <c r="IA2" i="6"/>
  <c r="HZ2" i="6"/>
  <c r="HY2" i="6"/>
  <c r="HX2" i="6"/>
  <c r="HW2" i="6"/>
  <c r="HV2" i="6"/>
  <c r="HU2" i="6"/>
  <c r="HT2" i="6"/>
  <c r="HS2" i="6"/>
  <c r="HR2" i="6"/>
  <c r="HQ2" i="6"/>
  <c r="HP2" i="6"/>
  <c r="HO2" i="6"/>
  <c r="HN2" i="6"/>
  <c r="HM2" i="6"/>
  <c r="HL2" i="6"/>
  <c r="HK2" i="6"/>
  <c r="HJ2" i="6"/>
  <c r="HI2" i="6"/>
  <c r="HH2" i="6"/>
  <c r="HG2" i="6"/>
  <c r="HF2" i="6"/>
  <c r="HE2" i="6"/>
  <c r="HD2" i="6"/>
  <c r="HC2" i="6"/>
  <c r="HB2" i="6"/>
  <c r="HA2" i="6"/>
  <c r="GZ2" i="6"/>
  <c r="GY2" i="6"/>
  <c r="GX2" i="6"/>
  <c r="GW2" i="6"/>
  <c r="GV2" i="6"/>
  <c r="GU2" i="6"/>
  <c r="GT2" i="6"/>
  <c r="GS2" i="6"/>
  <c r="GR2" i="6"/>
  <c r="GQ2" i="6"/>
  <c r="GP2" i="6"/>
  <c r="GO2" i="6"/>
  <c r="GN2" i="6"/>
  <c r="GM2" i="6"/>
  <c r="GL2" i="6"/>
  <c r="GK2" i="6"/>
  <c r="GJ2" i="6"/>
  <c r="GI2" i="6"/>
  <c r="GH2" i="6"/>
  <c r="GG2" i="6"/>
  <c r="GF2" i="6"/>
  <c r="GE2" i="6"/>
  <c r="GD2" i="6"/>
  <c r="GC2" i="6"/>
  <c r="GB2" i="6"/>
  <c r="GA2" i="6"/>
  <c r="FZ2" i="6"/>
  <c r="FY2" i="6"/>
  <c r="FX2" i="6"/>
  <c r="FW2" i="6"/>
  <c r="FV2" i="6"/>
  <c r="FU2" i="6"/>
  <c r="FT2" i="6"/>
  <c r="FS2" i="6"/>
  <c r="FR2" i="6"/>
  <c r="FQ2" i="6"/>
  <c r="FP2" i="6"/>
  <c r="FO2" i="6"/>
  <c r="FN2" i="6"/>
  <c r="FM2" i="6"/>
  <c r="FL2" i="6"/>
  <c r="FK2" i="6"/>
  <c r="FJ2" i="6"/>
  <c r="FI2" i="6"/>
  <c r="FH2" i="6"/>
  <c r="FG2" i="6"/>
  <c r="FF2" i="6"/>
  <c r="FE2" i="6"/>
  <c r="FD2" i="6"/>
  <c r="FC2" i="6"/>
  <c r="FB2" i="6"/>
  <c r="FA2" i="6"/>
  <c r="EZ2" i="6"/>
  <c r="EY2" i="6"/>
  <c r="EX2" i="6"/>
  <c r="EW2" i="6"/>
  <c r="EV2" i="6"/>
  <c r="EU2" i="6"/>
  <c r="ET2" i="6"/>
  <c r="ES2" i="6"/>
  <c r="ER2" i="6"/>
  <c r="EQ2" i="6"/>
  <c r="EP2" i="6"/>
  <c r="EO2" i="6"/>
  <c r="EN2" i="6"/>
  <c r="EM2" i="6"/>
  <c r="EL2" i="6"/>
  <c r="EK2" i="6"/>
  <c r="EJ2" i="6"/>
  <c r="EI2" i="6"/>
  <c r="EH2" i="6"/>
  <c r="EG2" i="6"/>
  <c r="EF2" i="6"/>
  <c r="EE2" i="6"/>
  <c r="ED2" i="6"/>
  <c r="EC2" i="6"/>
  <c r="EB2" i="6"/>
  <c r="EA2" i="6"/>
  <c r="DZ2" i="6"/>
  <c r="DY2" i="6"/>
  <c r="DX2" i="6"/>
  <c r="DW2" i="6"/>
  <c r="DV2" i="6"/>
  <c r="DU2" i="6"/>
  <c r="DT2" i="6"/>
  <c r="DS2" i="6"/>
  <c r="DR2" i="6"/>
  <c r="DQ2" i="6"/>
  <c r="DP2" i="6"/>
  <c r="DO2" i="6"/>
  <c r="DN2" i="6"/>
  <c r="DM2" i="6"/>
  <c r="DL2" i="6"/>
  <c r="DK2" i="6"/>
  <c r="DJ2" i="6"/>
  <c r="DI2" i="6"/>
  <c r="DH2" i="6"/>
  <c r="DG2" i="6"/>
  <c r="DF2" i="6"/>
  <c r="DE2" i="6"/>
  <c r="DD2" i="6"/>
  <c r="DC2" i="6"/>
  <c r="DB2" i="6"/>
  <c r="DA2" i="6"/>
  <c r="CZ2" i="6"/>
  <c r="CY2" i="6"/>
  <c r="CX2" i="6"/>
  <c r="CW2" i="6"/>
  <c r="CV2" i="6"/>
  <c r="CU2" i="6"/>
  <c r="CT2" i="6"/>
  <c r="CS2" i="6"/>
  <c r="CR2" i="6"/>
  <c r="CQ2" i="6"/>
  <c r="CP2" i="6"/>
  <c r="CO2" i="6"/>
  <c r="CN2" i="6"/>
  <c r="CM2" i="6"/>
  <c r="CL2" i="6"/>
  <c r="CK2" i="6"/>
  <c r="CJ2" i="6"/>
  <c r="CI2" i="6"/>
  <c r="CH2" i="6"/>
  <c r="CG2" i="6"/>
  <c r="CF2" i="6"/>
  <c r="CE2" i="6"/>
  <c r="CD2" i="6"/>
  <c r="CC2" i="6"/>
  <c r="CB2" i="6"/>
  <c r="CA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M2" i="6"/>
  <c r="BL2" i="6"/>
  <c r="BK2" i="6"/>
  <c r="BJ2" i="6"/>
  <c r="BI2" i="6"/>
  <c r="BH2" i="6"/>
  <c r="BG2" i="6"/>
  <c r="BF2" i="6"/>
  <c r="BE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A2" i="6"/>
  <c r="IV1" i="6"/>
  <c r="IU1" i="6"/>
  <c r="IT1" i="6"/>
  <c r="IS1" i="6"/>
  <c r="IR1" i="6"/>
  <c r="IQ1" i="6"/>
  <c r="IP1" i="6"/>
  <c r="IO1" i="6"/>
  <c r="IN1" i="6"/>
  <c r="IM1" i="6"/>
  <c r="IL1" i="6"/>
  <c r="IK1" i="6"/>
  <c r="IJ1" i="6"/>
  <c r="II1" i="6"/>
  <c r="IH1" i="6"/>
  <c r="IG1" i="6"/>
  <c r="IF1" i="6"/>
  <c r="IE1" i="6"/>
  <c r="ID1" i="6"/>
  <c r="IC1" i="6"/>
  <c r="IB1" i="6"/>
  <c r="IA1" i="6"/>
  <c r="HZ1" i="6"/>
  <c r="HY1" i="6"/>
  <c r="HX1" i="6"/>
  <c r="HW1" i="6"/>
  <c r="HV1" i="6"/>
  <c r="HU1" i="6"/>
  <c r="HT1" i="6"/>
  <c r="HS1" i="6"/>
  <c r="HR1" i="6"/>
  <c r="HQ1" i="6"/>
  <c r="HP1" i="6"/>
  <c r="HO1" i="6"/>
  <c r="HN1" i="6"/>
  <c r="HM1" i="6"/>
  <c r="HL1" i="6"/>
  <c r="HK1" i="6"/>
  <c r="HJ1" i="6"/>
  <c r="HI1" i="6"/>
  <c r="HH1" i="6"/>
  <c r="HG1" i="6"/>
  <c r="HF1" i="6"/>
  <c r="HE1" i="6"/>
  <c r="HD1" i="6"/>
  <c r="HC1" i="6"/>
  <c r="HB1" i="6"/>
  <c r="HA1" i="6"/>
  <c r="GZ1" i="6"/>
  <c r="GY1" i="6"/>
  <c r="GX1" i="6"/>
  <c r="GW1" i="6"/>
  <c r="GV1" i="6"/>
  <c r="GU1" i="6"/>
  <c r="GT1" i="6"/>
  <c r="GS1" i="6"/>
  <c r="GR1" i="6"/>
  <c r="GQ1" i="6"/>
  <c r="GP1" i="6"/>
  <c r="GO1" i="6"/>
  <c r="GN1" i="6"/>
  <c r="GM1" i="6"/>
  <c r="GL1" i="6"/>
  <c r="GK1" i="6"/>
  <c r="GJ1" i="6"/>
  <c r="GI1" i="6"/>
  <c r="GH1" i="6"/>
  <c r="GG1" i="6"/>
  <c r="GF1" i="6"/>
  <c r="GE1" i="6"/>
  <c r="GD1" i="6"/>
  <c r="GC1" i="6"/>
  <c r="GB1" i="6"/>
  <c r="GA1" i="6"/>
  <c r="FZ1" i="6"/>
  <c r="FY1" i="6"/>
  <c r="FX1" i="6"/>
  <c r="FW1" i="6"/>
  <c r="FV1" i="6"/>
  <c r="FU1" i="6"/>
  <c r="FT1" i="6"/>
  <c r="FS1" i="6"/>
  <c r="FR1" i="6"/>
  <c r="FQ1" i="6"/>
  <c r="FP1" i="6"/>
  <c r="FO1" i="6"/>
  <c r="FN1" i="6"/>
  <c r="FM1" i="6"/>
  <c r="FL1" i="6"/>
  <c r="FK1" i="6"/>
  <c r="FJ1" i="6"/>
  <c r="FI1" i="6"/>
  <c r="FH1" i="6"/>
  <c r="FG1" i="6"/>
  <c r="FF1" i="6"/>
  <c r="FE1" i="6"/>
  <c r="FD1" i="6"/>
  <c r="FC1" i="6"/>
  <c r="FB1" i="6"/>
  <c r="FA1" i="6"/>
  <c r="EZ1" i="6"/>
  <c r="EY1" i="6"/>
  <c r="EX1" i="6"/>
  <c r="EW1" i="6"/>
  <c r="EV1" i="6"/>
  <c r="EU1" i="6"/>
  <c r="ET1" i="6"/>
  <c r="ES1" i="6"/>
  <c r="ER1" i="6"/>
  <c r="EQ1" i="6"/>
  <c r="EP1" i="6"/>
  <c r="EO1" i="6"/>
  <c r="EN1" i="6"/>
  <c r="EM1" i="6"/>
  <c r="EL1" i="6"/>
  <c r="EK1" i="6"/>
  <c r="EJ1" i="6"/>
  <c r="EI1" i="6"/>
  <c r="EH1" i="6"/>
  <c r="EG1" i="6"/>
  <c r="EF1" i="6"/>
  <c r="EE1" i="6"/>
  <c r="ED1" i="6"/>
  <c r="EC1" i="6"/>
  <c r="EB1" i="6"/>
  <c r="EA1" i="6"/>
  <c r="DZ1" i="6"/>
  <c r="DY1" i="6"/>
  <c r="DX1" i="6"/>
  <c r="DW1" i="6"/>
  <c r="DV1" i="6"/>
  <c r="DU1" i="6"/>
  <c r="DT1" i="6"/>
  <c r="DS1" i="6"/>
  <c r="DR1" i="6"/>
  <c r="DQ1" i="6"/>
  <c r="DP1" i="6"/>
  <c r="DO1" i="6"/>
  <c r="DN1" i="6"/>
  <c r="DM1" i="6"/>
  <c r="DL1" i="6"/>
  <c r="DK1" i="6"/>
  <c r="DJ1" i="6"/>
  <c r="DI1" i="6"/>
  <c r="DH1" i="6"/>
  <c r="DG1" i="6"/>
  <c r="DF1" i="6"/>
  <c r="DE1" i="6"/>
  <c r="DD1" i="6"/>
  <c r="DC1" i="6"/>
  <c r="DB1" i="6"/>
  <c r="DA1" i="6"/>
  <c r="CZ1" i="6"/>
  <c r="CY1" i="6"/>
  <c r="CX1" i="6"/>
  <c r="CW1" i="6"/>
  <c r="CV1" i="6"/>
  <c r="CU1" i="6"/>
  <c r="CT1" i="6"/>
  <c r="CS1" i="6"/>
  <c r="CR1" i="6"/>
  <c r="CQ1" i="6"/>
  <c r="CP1" i="6"/>
  <c r="CO1" i="6"/>
  <c r="CN1" i="6"/>
  <c r="CM1" i="6"/>
  <c r="CL1" i="6"/>
  <c r="CK1" i="6"/>
  <c r="CJ1" i="6"/>
  <c r="CI1" i="6"/>
  <c r="CH1" i="6"/>
  <c r="CG1" i="6"/>
  <c r="CF1" i="6"/>
  <c r="CE1" i="6"/>
  <c r="CD1" i="6"/>
  <c r="CC1" i="6"/>
  <c r="CB1" i="6"/>
  <c r="CA1" i="6"/>
  <c r="BZ1" i="6"/>
  <c r="BY1" i="6"/>
  <c r="BX1" i="6"/>
  <c r="BW1" i="6"/>
  <c r="BV1" i="6"/>
  <c r="BU1" i="6"/>
  <c r="BT1" i="6"/>
  <c r="BS1" i="6"/>
  <c r="BR1" i="6"/>
  <c r="BQ1" i="6"/>
  <c r="BP1" i="6"/>
  <c r="BO1" i="6"/>
  <c r="BN1" i="6"/>
  <c r="BM1" i="6"/>
  <c r="BL1" i="6"/>
  <c r="BK1" i="6"/>
  <c r="BJ1" i="6"/>
  <c r="BI1" i="6"/>
  <c r="BH1" i="6"/>
  <c r="BG1" i="6"/>
  <c r="BF1" i="6"/>
  <c r="BE1" i="6"/>
  <c r="BD1" i="6"/>
  <c r="BC1" i="6"/>
  <c r="BB1" i="6"/>
  <c r="BA1" i="6"/>
  <c r="AZ1" i="6"/>
  <c r="AY1" i="6"/>
  <c r="AX1" i="6"/>
  <c r="AW1" i="6"/>
  <c r="AV1" i="6"/>
  <c r="AU1" i="6"/>
  <c r="AT1" i="6"/>
  <c r="AS1" i="6"/>
  <c r="AR1" i="6"/>
  <c r="AQ1" i="6"/>
  <c r="AP1" i="6"/>
  <c r="AO1" i="6"/>
  <c r="AN1" i="6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H189" i="4"/>
  <c r="G189" i="4"/>
  <c r="I189" i="4" s="1"/>
  <c r="J189" i="4" s="1"/>
  <c r="K189" i="4" s="1"/>
  <c r="H188" i="4"/>
  <c r="G188" i="4"/>
  <c r="I188" i="4" s="1"/>
  <c r="J188" i="4" s="1"/>
  <c r="K188" i="4" s="1"/>
  <c r="H187" i="4"/>
  <c r="I187" i="4" s="1"/>
  <c r="J187" i="4" s="1"/>
  <c r="K187" i="4" s="1"/>
  <c r="G187" i="4"/>
  <c r="I186" i="4"/>
  <c r="J186" i="4" s="1"/>
  <c r="K186" i="4" s="1"/>
  <c r="H186" i="4"/>
  <c r="G186" i="4"/>
  <c r="H185" i="4"/>
  <c r="G185" i="4"/>
  <c r="I185" i="4" s="1"/>
  <c r="J185" i="4" s="1"/>
  <c r="K185" i="4" s="1"/>
  <c r="H184" i="4"/>
  <c r="G184" i="4"/>
  <c r="I184" i="4" s="1"/>
  <c r="J184" i="4" s="1"/>
  <c r="K184" i="4" s="1"/>
  <c r="I183" i="4"/>
  <c r="J183" i="4" s="1"/>
  <c r="K183" i="4" s="1"/>
  <c r="H183" i="4"/>
  <c r="G183" i="4"/>
  <c r="H182" i="4"/>
  <c r="G182" i="4"/>
  <c r="I182" i="4" s="1"/>
  <c r="J182" i="4" s="1"/>
  <c r="K182" i="4" s="1"/>
  <c r="H181" i="4"/>
  <c r="G181" i="4"/>
  <c r="I181" i="4" s="1"/>
  <c r="J181" i="4" s="1"/>
  <c r="K181" i="4" s="1"/>
  <c r="H180" i="4"/>
  <c r="I180" i="4" s="1"/>
  <c r="J180" i="4" s="1"/>
  <c r="K180" i="4" s="1"/>
  <c r="G180" i="4"/>
  <c r="I179" i="4"/>
  <c r="J179" i="4" s="1"/>
  <c r="K179" i="4" s="1"/>
  <c r="H179" i="4"/>
  <c r="G179" i="4"/>
  <c r="H178" i="4"/>
  <c r="G178" i="4"/>
  <c r="I178" i="4" s="1"/>
  <c r="J178" i="4" s="1"/>
  <c r="K178" i="4" s="1"/>
  <c r="H177" i="4"/>
  <c r="I177" i="4" s="1"/>
  <c r="J177" i="4" s="1"/>
  <c r="K177" i="4" s="1"/>
  <c r="G177" i="4"/>
  <c r="I176" i="4"/>
  <c r="J176" i="4" s="1"/>
  <c r="K176" i="4" s="1"/>
  <c r="H176" i="4"/>
  <c r="G176" i="4"/>
  <c r="H175" i="4"/>
  <c r="G175" i="4"/>
  <c r="I175" i="4" s="1"/>
  <c r="J175" i="4" s="1"/>
  <c r="K175" i="4" s="1"/>
  <c r="H174" i="4"/>
  <c r="G174" i="4"/>
  <c r="I174" i="4" s="1"/>
  <c r="J174" i="4" s="1"/>
  <c r="K174" i="4" s="1"/>
  <c r="H173" i="4"/>
  <c r="I173" i="4" s="1"/>
  <c r="J173" i="4" s="1"/>
  <c r="K173" i="4" s="1"/>
  <c r="G173" i="4"/>
  <c r="I172" i="4"/>
  <c r="J172" i="4" s="1"/>
  <c r="K172" i="4" s="1"/>
  <c r="H172" i="4"/>
  <c r="G172" i="4"/>
  <c r="H171" i="4"/>
  <c r="G171" i="4"/>
  <c r="I171" i="4" s="1"/>
  <c r="J171" i="4" s="1"/>
  <c r="K171" i="4" s="1"/>
  <c r="H170" i="4"/>
  <c r="I170" i="4" s="1"/>
  <c r="J170" i="4" s="1"/>
  <c r="K170" i="4" s="1"/>
  <c r="G170" i="4"/>
  <c r="I169" i="4"/>
  <c r="J169" i="4" s="1"/>
  <c r="K169" i="4" s="1"/>
  <c r="H169" i="4"/>
  <c r="G169" i="4"/>
  <c r="H168" i="4"/>
  <c r="G168" i="4"/>
  <c r="I168" i="4" s="1"/>
  <c r="J168" i="4" s="1"/>
  <c r="K168" i="4" s="1"/>
  <c r="H167" i="4"/>
  <c r="G167" i="4"/>
  <c r="I167" i="4" s="1"/>
  <c r="J167" i="4" s="1"/>
  <c r="K167" i="4" s="1"/>
  <c r="H166" i="4"/>
  <c r="I166" i="4" s="1"/>
  <c r="J166" i="4" s="1"/>
  <c r="K166" i="4" s="1"/>
  <c r="G166" i="4"/>
  <c r="H165" i="4"/>
  <c r="G165" i="4"/>
  <c r="I165" i="4" s="1"/>
  <c r="J165" i="4" s="1"/>
  <c r="K165" i="4" s="1"/>
  <c r="H164" i="4"/>
  <c r="G164" i="4"/>
  <c r="I164" i="4" s="1"/>
  <c r="J164" i="4" s="1"/>
  <c r="K164" i="4" s="1"/>
  <c r="H163" i="4"/>
  <c r="I163" i="4" s="1"/>
  <c r="J163" i="4" s="1"/>
  <c r="K163" i="4" s="1"/>
  <c r="G163" i="4"/>
  <c r="I162" i="4"/>
  <c r="J162" i="4" s="1"/>
  <c r="K162" i="4" s="1"/>
  <c r="H162" i="4"/>
  <c r="G162" i="4"/>
  <c r="H161" i="4"/>
  <c r="G161" i="4"/>
  <c r="I161" i="4" s="1"/>
  <c r="J161" i="4" s="1"/>
  <c r="K161" i="4" s="1"/>
  <c r="H160" i="4"/>
  <c r="G160" i="4"/>
  <c r="I160" i="4" s="1"/>
  <c r="J160" i="4" s="1"/>
  <c r="K160" i="4" s="1"/>
  <c r="I159" i="4"/>
  <c r="J159" i="4" s="1"/>
  <c r="K159" i="4" s="1"/>
  <c r="H159" i="4"/>
  <c r="G159" i="4"/>
  <c r="H158" i="4"/>
  <c r="G158" i="4"/>
  <c r="I158" i="4" s="1"/>
  <c r="J158" i="4" s="1"/>
  <c r="K158" i="4" s="1"/>
  <c r="H157" i="4"/>
  <c r="G157" i="4"/>
  <c r="I157" i="4" s="1"/>
  <c r="J157" i="4" s="1"/>
  <c r="K157" i="4" s="1"/>
  <c r="H156" i="4"/>
  <c r="I156" i="4" s="1"/>
  <c r="J156" i="4" s="1"/>
  <c r="K156" i="4" s="1"/>
  <c r="G156" i="4"/>
  <c r="I155" i="4"/>
  <c r="J155" i="4" s="1"/>
  <c r="K155" i="4" s="1"/>
  <c r="H155" i="4"/>
  <c r="G155" i="4"/>
  <c r="H154" i="4"/>
  <c r="G154" i="4"/>
  <c r="I154" i="4" s="1"/>
  <c r="J154" i="4" s="1"/>
  <c r="K154" i="4" s="1"/>
  <c r="H153" i="4"/>
  <c r="I153" i="4" s="1"/>
  <c r="J153" i="4" s="1"/>
  <c r="K153" i="4" s="1"/>
  <c r="G153" i="4"/>
  <c r="I152" i="4"/>
  <c r="J152" i="4" s="1"/>
  <c r="K152" i="4" s="1"/>
  <c r="H152" i="4"/>
  <c r="G152" i="4"/>
  <c r="H151" i="4"/>
  <c r="G151" i="4"/>
  <c r="I151" i="4" s="1"/>
  <c r="J151" i="4" s="1"/>
  <c r="K151" i="4" s="1"/>
  <c r="H150" i="4"/>
  <c r="G150" i="4"/>
  <c r="I150" i="4" s="1"/>
  <c r="J150" i="4" s="1"/>
  <c r="K150" i="4" s="1"/>
  <c r="H149" i="4"/>
  <c r="I149" i="4" s="1"/>
  <c r="J149" i="4" s="1"/>
  <c r="K149" i="4" s="1"/>
  <c r="G149" i="4"/>
  <c r="I148" i="4"/>
  <c r="J148" i="4" s="1"/>
  <c r="K148" i="4" s="1"/>
  <c r="H148" i="4"/>
  <c r="G148" i="4"/>
  <c r="H147" i="4"/>
  <c r="G147" i="4"/>
  <c r="I147" i="4" s="1"/>
  <c r="J147" i="4" s="1"/>
  <c r="K147" i="4" s="1"/>
  <c r="H146" i="4"/>
  <c r="I146" i="4" s="1"/>
  <c r="J146" i="4" s="1"/>
  <c r="K146" i="4" s="1"/>
  <c r="G146" i="4"/>
  <c r="I145" i="4"/>
  <c r="J145" i="4" s="1"/>
  <c r="K145" i="4" s="1"/>
  <c r="H145" i="4"/>
  <c r="G145" i="4"/>
  <c r="H144" i="4"/>
  <c r="G144" i="4"/>
  <c r="I144" i="4" s="1"/>
  <c r="J144" i="4" s="1"/>
  <c r="K144" i="4" s="1"/>
  <c r="H143" i="4"/>
  <c r="G143" i="4"/>
  <c r="I143" i="4" s="1"/>
  <c r="J143" i="4" s="1"/>
  <c r="K143" i="4" s="1"/>
  <c r="H142" i="4"/>
  <c r="I142" i="4" s="1"/>
  <c r="J142" i="4" s="1"/>
  <c r="K142" i="4" s="1"/>
  <c r="G142" i="4"/>
  <c r="H141" i="4"/>
  <c r="G141" i="4"/>
  <c r="I141" i="4" s="1"/>
  <c r="J141" i="4" s="1"/>
  <c r="K141" i="4" s="1"/>
  <c r="H140" i="4"/>
  <c r="G140" i="4"/>
  <c r="I140" i="4" s="1"/>
  <c r="J140" i="4" s="1"/>
  <c r="K140" i="4" s="1"/>
  <c r="H139" i="4"/>
  <c r="I139" i="4" s="1"/>
  <c r="J139" i="4" s="1"/>
  <c r="K139" i="4" s="1"/>
  <c r="G139" i="4"/>
  <c r="I138" i="4"/>
  <c r="J138" i="4" s="1"/>
  <c r="K138" i="4" s="1"/>
  <c r="H138" i="4"/>
  <c r="G138" i="4"/>
  <c r="H137" i="4"/>
  <c r="G137" i="4"/>
  <c r="I137" i="4" s="1"/>
  <c r="J137" i="4" s="1"/>
  <c r="K137" i="4" s="1"/>
  <c r="H136" i="4"/>
  <c r="G136" i="4"/>
  <c r="I136" i="4" s="1"/>
  <c r="J136" i="4" s="1"/>
  <c r="K136" i="4" s="1"/>
  <c r="I135" i="4"/>
  <c r="J135" i="4" s="1"/>
  <c r="K135" i="4" s="1"/>
  <c r="H135" i="4"/>
  <c r="G135" i="4"/>
  <c r="H134" i="4"/>
  <c r="G134" i="4"/>
  <c r="I134" i="4" s="1"/>
  <c r="J134" i="4" s="1"/>
  <c r="K134" i="4" s="1"/>
  <c r="H133" i="4"/>
  <c r="G133" i="4"/>
  <c r="I133" i="4" s="1"/>
  <c r="J133" i="4" s="1"/>
  <c r="K133" i="4" s="1"/>
  <c r="H132" i="4"/>
  <c r="I132" i="4" s="1"/>
  <c r="J132" i="4" s="1"/>
  <c r="K132" i="4" s="1"/>
  <c r="G132" i="4"/>
  <c r="I131" i="4"/>
  <c r="J131" i="4" s="1"/>
  <c r="K131" i="4" s="1"/>
  <c r="H131" i="4"/>
  <c r="G131" i="4"/>
  <c r="H130" i="4"/>
  <c r="G130" i="4"/>
  <c r="I130" i="4" s="1"/>
  <c r="J130" i="4" s="1"/>
  <c r="K130" i="4" s="1"/>
  <c r="H129" i="4"/>
  <c r="I129" i="4" s="1"/>
  <c r="J129" i="4" s="1"/>
  <c r="K129" i="4" s="1"/>
  <c r="G129" i="4"/>
  <c r="I128" i="4"/>
  <c r="J128" i="4" s="1"/>
  <c r="K128" i="4" s="1"/>
  <c r="H128" i="4"/>
  <c r="G128" i="4"/>
  <c r="H127" i="4"/>
  <c r="G127" i="4"/>
  <c r="I127" i="4" s="1"/>
  <c r="J127" i="4" s="1"/>
  <c r="K127" i="4" s="1"/>
  <c r="H126" i="4"/>
  <c r="G126" i="4"/>
  <c r="I126" i="4" s="1"/>
  <c r="J126" i="4" s="1"/>
  <c r="K126" i="4" s="1"/>
  <c r="H125" i="4"/>
  <c r="I125" i="4" s="1"/>
  <c r="J125" i="4" s="1"/>
  <c r="K125" i="4" s="1"/>
  <c r="G125" i="4"/>
  <c r="I124" i="4"/>
  <c r="J124" i="4" s="1"/>
  <c r="K124" i="4" s="1"/>
  <c r="H124" i="4"/>
  <c r="G124" i="4"/>
  <c r="H123" i="4"/>
  <c r="G123" i="4"/>
  <c r="I123" i="4" s="1"/>
  <c r="J123" i="4" s="1"/>
  <c r="K123" i="4" s="1"/>
  <c r="H122" i="4"/>
  <c r="I122" i="4" s="1"/>
  <c r="J122" i="4" s="1"/>
  <c r="K122" i="4" s="1"/>
  <c r="G122" i="4"/>
  <c r="I121" i="4"/>
  <c r="J121" i="4" s="1"/>
  <c r="K121" i="4" s="1"/>
  <c r="H121" i="4"/>
  <c r="G121" i="4"/>
  <c r="H120" i="4"/>
  <c r="G120" i="4"/>
  <c r="I120" i="4" s="1"/>
  <c r="J120" i="4" s="1"/>
  <c r="K120" i="4" s="1"/>
  <c r="H119" i="4"/>
  <c r="G119" i="4"/>
  <c r="I119" i="4" s="1"/>
  <c r="J119" i="4" s="1"/>
  <c r="K119" i="4" s="1"/>
  <c r="H118" i="4"/>
  <c r="I118" i="4" s="1"/>
  <c r="J118" i="4" s="1"/>
  <c r="K118" i="4" s="1"/>
  <c r="G118" i="4"/>
  <c r="J117" i="4"/>
  <c r="K117" i="4" s="1"/>
  <c r="H117" i="4"/>
  <c r="G117" i="4"/>
  <c r="I117" i="4" s="1"/>
  <c r="H116" i="4"/>
  <c r="G116" i="4"/>
  <c r="I116" i="4" s="1"/>
  <c r="J116" i="4" s="1"/>
  <c r="K116" i="4" s="1"/>
  <c r="H115" i="4"/>
  <c r="I115" i="4" s="1"/>
  <c r="J115" i="4" s="1"/>
  <c r="K115" i="4" s="1"/>
  <c r="G115" i="4"/>
  <c r="I114" i="4"/>
  <c r="J114" i="4" s="1"/>
  <c r="K114" i="4" s="1"/>
  <c r="H114" i="4"/>
  <c r="G114" i="4"/>
  <c r="H113" i="4"/>
  <c r="G113" i="4"/>
  <c r="I113" i="4" s="1"/>
  <c r="J113" i="4" s="1"/>
  <c r="K113" i="4" s="1"/>
  <c r="H112" i="4"/>
  <c r="G112" i="4"/>
  <c r="I112" i="4" s="1"/>
  <c r="J112" i="4" s="1"/>
  <c r="K112" i="4" s="1"/>
  <c r="J111" i="4"/>
  <c r="K111" i="4" s="1"/>
  <c r="I111" i="4"/>
  <c r="H111" i="4"/>
  <c r="G111" i="4"/>
  <c r="H110" i="4"/>
  <c r="G110" i="4"/>
  <c r="I110" i="4" s="1"/>
  <c r="J110" i="4" s="1"/>
  <c r="K110" i="4" s="1"/>
  <c r="H109" i="4"/>
  <c r="G109" i="4"/>
  <c r="I109" i="4" s="1"/>
  <c r="J109" i="4" s="1"/>
  <c r="K109" i="4" s="1"/>
  <c r="I108" i="4"/>
  <c r="J108" i="4" s="1"/>
  <c r="K108" i="4" s="1"/>
  <c r="H108" i="4"/>
  <c r="G108" i="4"/>
  <c r="I107" i="4"/>
  <c r="J107" i="4" s="1"/>
  <c r="K107" i="4" s="1"/>
  <c r="H107" i="4"/>
  <c r="G107" i="4"/>
  <c r="J106" i="4"/>
  <c r="K106" i="4" s="1"/>
  <c r="H106" i="4"/>
  <c r="G106" i="4"/>
  <c r="I106" i="4" s="1"/>
  <c r="H105" i="4"/>
  <c r="I105" i="4" s="1"/>
  <c r="J105" i="4" s="1"/>
  <c r="K105" i="4" s="1"/>
  <c r="G105" i="4"/>
  <c r="I104" i="4"/>
  <c r="J104" i="4" s="1"/>
  <c r="K104" i="4" s="1"/>
  <c r="H104" i="4"/>
  <c r="G104" i="4"/>
  <c r="J103" i="4"/>
  <c r="K103" i="4" s="1"/>
  <c r="H103" i="4"/>
  <c r="G103" i="4"/>
  <c r="I103" i="4" s="1"/>
  <c r="H102" i="4"/>
  <c r="G102" i="4"/>
  <c r="H101" i="4"/>
  <c r="I101" i="4" s="1"/>
  <c r="J101" i="4" s="1"/>
  <c r="K101" i="4" s="1"/>
  <c r="G101" i="4"/>
  <c r="J100" i="4"/>
  <c r="K100" i="4" s="1"/>
  <c r="I100" i="4"/>
  <c r="H100" i="4"/>
  <c r="G100" i="4"/>
  <c r="H99" i="4"/>
  <c r="G99" i="4"/>
  <c r="I99" i="4" s="1"/>
  <c r="J99" i="4" s="1"/>
  <c r="K99" i="4" s="1"/>
  <c r="I98" i="4"/>
  <c r="J98" i="4" s="1"/>
  <c r="K98" i="4" s="1"/>
  <c r="H98" i="4"/>
  <c r="G98" i="4"/>
  <c r="J97" i="4"/>
  <c r="K97" i="4" s="1"/>
  <c r="I97" i="4"/>
  <c r="H97" i="4"/>
  <c r="G97" i="4"/>
  <c r="H96" i="4"/>
  <c r="G96" i="4"/>
  <c r="I96" i="4" s="1"/>
  <c r="J96" i="4" s="1"/>
  <c r="K96" i="4" s="1"/>
  <c r="H95" i="4"/>
  <c r="G95" i="4"/>
  <c r="H94" i="4"/>
  <c r="I94" i="4" s="1"/>
  <c r="J94" i="4" s="1"/>
  <c r="K94" i="4" s="1"/>
  <c r="G94" i="4"/>
  <c r="H93" i="4"/>
  <c r="G93" i="4"/>
  <c r="I93" i="4" s="1"/>
  <c r="J93" i="4" s="1"/>
  <c r="K93" i="4" s="1"/>
  <c r="H92" i="4"/>
  <c r="G92" i="4"/>
  <c r="I92" i="4" s="1"/>
  <c r="J92" i="4" s="1"/>
  <c r="K92" i="4" s="1"/>
  <c r="I91" i="4"/>
  <c r="J91" i="4" s="1"/>
  <c r="K91" i="4" s="1"/>
  <c r="H91" i="4"/>
  <c r="G91" i="4"/>
  <c r="J90" i="4"/>
  <c r="K90" i="4" s="1"/>
  <c r="I90" i="4"/>
  <c r="H90" i="4"/>
  <c r="G90" i="4"/>
  <c r="H89" i="4"/>
  <c r="G89" i="4"/>
  <c r="I89" i="4" s="1"/>
  <c r="J89" i="4" s="1"/>
  <c r="K89" i="4" s="1"/>
  <c r="H88" i="4"/>
  <c r="G88" i="4"/>
  <c r="I88" i="4" s="1"/>
  <c r="J88" i="4" s="1"/>
  <c r="K88" i="4" s="1"/>
  <c r="H87" i="4"/>
  <c r="G87" i="4"/>
  <c r="I87" i="4" s="1"/>
  <c r="J87" i="4" s="1"/>
  <c r="K87" i="4" s="1"/>
  <c r="H86" i="4"/>
  <c r="G86" i="4"/>
  <c r="I86" i="4" s="1"/>
  <c r="J86" i="4" s="1"/>
  <c r="K86" i="4" s="1"/>
  <c r="H85" i="4"/>
  <c r="G85" i="4"/>
  <c r="I85" i="4" s="1"/>
  <c r="J85" i="4" s="1"/>
  <c r="K85" i="4" s="1"/>
  <c r="H84" i="4"/>
  <c r="I84" i="4" s="1"/>
  <c r="J84" i="4" s="1"/>
  <c r="K84" i="4" s="1"/>
  <c r="G84" i="4"/>
  <c r="I83" i="4"/>
  <c r="J83" i="4" s="1"/>
  <c r="K83" i="4" s="1"/>
  <c r="H83" i="4"/>
  <c r="G83" i="4"/>
  <c r="H82" i="4"/>
  <c r="G82" i="4"/>
  <c r="I81" i="4"/>
  <c r="J81" i="4" s="1"/>
  <c r="K81" i="4" s="1"/>
  <c r="H81" i="4"/>
  <c r="G81" i="4"/>
  <c r="H80" i="4"/>
  <c r="G80" i="4"/>
  <c r="I80" i="4" s="1"/>
  <c r="J80" i="4" s="1"/>
  <c r="K80" i="4" s="1"/>
  <c r="H79" i="4"/>
  <c r="G79" i="4"/>
  <c r="I79" i="4" s="1"/>
  <c r="J79" i="4" s="1"/>
  <c r="K79" i="4" s="1"/>
  <c r="H78" i="4"/>
  <c r="G78" i="4"/>
  <c r="I78" i="4" s="1"/>
  <c r="J78" i="4" s="1"/>
  <c r="K78" i="4" s="1"/>
  <c r="J77" i="4"/>
  <c r="K77" i="4" s="1"/>
  <c r="I77" i="4"/>
  <c r="H77" i="4"/>
  <c r="G77" i="4"/>
  <c r="H76" i="4"/>
  <c r="G76" i="4"/>
  <c r="I76" i="4" s="1"/>
  <c r="J76" i="4" s="1"/>
  <c r="K76" i="4" s="1"/>
  <c r="J75" i="4"/>
  <c r="K75" i="4" s="1"/>
  <c r="I75" i="4"/>
  <c r="H75" i="4"/>
  <c r="G75" i="4"/>
  <c r="H74" i="4"/>
  <c r="G74" i="4"/>
  <c r="I74" i="4" s="1"/>
  <c r="J74" i="4" s="1"/>
  <c r="K74" i="4" s="1"/>
  <c r="H73" i="4"/>
  <c r="G73" i="4"/>
  <c r="I73" i="4" s="1"/>
  <c r="J73" i="4" s="1"/>
  <c r="K73" i="4" s="1"/>
  <c r="I72" i="4"/>
  <c r="J72" i="4" s="1"/>
  <c r="K72" i="4" s="1"/>
  <c r="H72" i="4"/>
  <c r="G72" i="4"/>
  <c r="J71" i="4"/>
  <c r="K71" i="4" s="1"/>
  <c r="I71" i="4"/>
  <c r="H71" i="4"/>
  <c r="G71" i="4"/>
  <c r="H70" i="4"/>
  <c r="G70" i="4"/>
  <c r="I70" i="4" s="1"/>
  <c r="J70" i="4" s="1"/>
  <c r="K70" i="4" s="1"/>
  <c r="I69" i="4"/>
  <c r="J69" i="4" s="1"/>
  <c r="K69" i="4" s="1"/>
  <c r="H69" i="4"/>
  <c r="G69" i="4"/>
  <c r="J68" i="4"/>
  <c r="K68" i="4" s="1"/>
  <c r="I68" i="4"/>
  <c r="H68" i="4"/>
  <c r="G68" i="4"/>
  <c r="H67" i="4"/>
  <c r="G67" i="4"/>
  <c r="I67" i="4" s="1"/>
  <c r="J67" i="4" s="1"/>
  <c r="K67" i="4" s="1"/>
  <c r="H66" i="4"/>
  <c r="G66" i="4"/>
  <c r="I66" i="4" s="1"/>
  <c r="J66" i="4" s="1"/>
  <c r="K66" i="4" s="1"/>
  <c r="I65" i="4"/>
  <c r="J65" i="4" s="1"/>
  <c r="K65" i="4" s="1"/>
  <c r="H65" i="4"/>
  <c r="G65" i="4"/>
  <c r="J64" i="4"/>
  <c r="K64" i="4" s="1"/>
  <c r="I64" i="4"/>
  <c r="H64" i="4"/>
  <c r="G64" i="4"/>
  <c r="H63" i="4"/>
  <c r="G63" i="4"/>
  <c r="I63" i="4" s="1"/>
  <c r="J63" i="4" s="1"/>
  <c r="K63" i="4" s="1"/>
  <c r="H62" i="4"/>
  <c r="I62" i="4" s="1"/>
  <c r="J62" i="4" s="1"/>
  <c r="K62" i="4" s="1"/>
  <c r="G62" i="4"/>
  <c r="I61" i="4"/>
  <c r="J61" i="4" s="1"/>
  <c r="K61" i="4" s="1"/>
  <c r="H61" i="4"/>
  <c r="G61" i="4"/>
  <c r="H60" i="4"/>
  <c r="G60" i="4"/>
  <c r="I60" i="4" s="1"/>
  <c r="J60" i="4" s="1"/>
  <c r="K60" i="4" s="1"/>
  <c r="H59" i="4"/>
  <c r="G59" i="4"/>
  <c r="I59" i="4" s="1"/>
  <c r="J59" i="4" s="1"/>
  <c r="K59" i="4" s="1"/>
  <c r="H58" i="4"/>
  <c r="I58" i="4" s="1"/>
  <c r="J58" i="4" s="1"/>
  <c r="K58" i="4" s="1"/>
  <c r="G58" i="4"/>
  <c r="H57" i="4"/>
  <c r="G57" i="4"/>
  <c r="I57" i="4" s="1"/>
  <c r="J57" i="4" s="1"/>
  <c r="K57" i="4" s="1"/>
  <c r="H56" i="4"/>
  <c r="G56" i="4"/>
  <c r="I56" i="4" s="1"/>
  <c r="J56" i="4" s="1"/>
  <c r="K56" i="4" s="1"/>
  <c r="H55" i="4"/>
  <c r="I55" i="4" s="1"/>
  <c r="J55" i="4" s="1"/>
  <c r="K55" i="4" s="1"/>
  <c r="G55" i="4"/>
  <c r="I54" i="4"/>
  <c r="J54" i="4" s="1"/>
  <c r="K54" i="4" s="1"/>
  <c r="H54" i="4"/>
  <c r="G54" i="4"/>
  <c r="H53" i="4"/>
  <c r="G53" i="4"/>
  <c r="I53" i="4" s="1"/>
  <c r="J53" i="4" s="1"/>
  <c r="K53" i="4" s="1"/>
  <c r="H52" i="4"/>
  <c r="G52" i="4"/>
  <c r="I52" i="4" s="1"/>
  <c r="J52" i="4" s="1"/>
  <c r="K52" i="4" s="1"/>
  <c r="I51" i="4"/>
  <c r="J51" i="4" s="1"/>
  <c r="K51" i="4" s="1"/>
  <c r="H51" i="4"/>
  <c r="G51" i="4"/>
  <c r="H50" i="4"/>
  <c r="G50" i="4"/>
  <c r="I50" i="4" s="1"/>
  <c r="J50" i="4" s="1"/>
  <c r="K50" i="4" s="1"/>
  <c r="H49" i="4"/>
  <c r="G49" i="4"/>
  <c r="I49" i="4" s="1"/>
  <c r="J49" i="4" s="1"/>
  <c r="K49" i="4" s="1"/>
  <c r="H48" i="4"/>
  <c r="I48" i="4" s="1"/>
  <c r="J48" i="4" s="1"/>
  <c r="K48" i="4" s="1"/>
  <c r="G48" i="4"/>
  <c r="I47" i="4"/>
  <c r="J47" i="4" s="1"/>
  <c r="K47" i="4" s="1"/>
  <c r="H47" i="4"/>
  <c r="G47" i="4"/>
  <c r="H46" i="4"/>
  <c r="G46" i="4"/>
  <c r="I46" i="4" s="1"/>
  <c r="J46" i="4" s="1"/>
  <c r="K46" i="4" s="1"/>
  <c r="H45" i="4"/>
  <c r="I45" i="4" s="1"/>
  <c r="J45" i="4" s="1"/>
  <c r="K45" i="4" s="1"/>
  <c r="G45" i="4"/>
  <c r="I44" i="4"/>
  <c r="J44" i="4" s="1"/>
  <c r="K44" i="4" s="1"/>
  <c r="H44" i="4"/>
  <c r="G44" i="4"/>
  <c r="H43" i="4"/>
  <c r="G43" i="4"/>
  <c r="I43" i="4" s="1"/>
  <c r="J43" i="4" s="1"/>
  <c r="K43" i="4" s="1"/>
  <c r="H42" i="4"/>
  <c r="G42" i="4"/>
  <c r="I42" i="4" s="1"/>
  <c r="J42" i="4" s="1"/>
  <c r="K42" i="4" s="1"/>
  <c r="H41" i="4"/>
  <c r="I41" i="4" s="1"/>
  <c r="J41" i="4" s="1"/>
  <c r="K41" i="4" s="1"/>
  <c r="G41" i="4"/>
  <c r="I40" i="4"/>
  <c r="J40" i="4" s="1"/>
  <c r="K40" i="4" s="1"/>
  <c r="H40" i="4"/>
  <c r="G40" i="4"/>
  <c r="H39" i="4"/>
  <c r="G39" i="4"/>
  <c r="I39" i="4" s="1"/>
  <c r="J39" i="4" s="1"/>
  <c r="K39" i="4" s="1"/>
  <c r="H38" i="4"/>
  <c r="I38" i="4" s="1"/>
  <c r="J38" i="4" s="1"/>
  <c r="K38" i="4" s="1"/>
  <c r="G38" i="4"/>
  <c r="I37" i="4"/>
  <c r="J37" i="4" s="1"/>
  <c r="K37" i="4" s="1"/>
  <c r="H37" i="4"/>
  <c r="G37" i="4"/>
  <c r="H36" i="4"/>
  <c r="G36" i="4"/>
  <c r="I36" i="4" s="1"/>
  <c r="J36" i="4" s="1"/>
  <c r="K36" i="4" s="1"/>
  <c r="H35" i="4"/>
  <c r="G35" i="4"/>
  <c r="I35" i="4" s="1"/>
  <c r="J35" i="4" s="1"/>
  <c r="K35" i="4" s="1"/>
  <c r="H34" i="4"/>
  <c r="I34" i="4" s="1"/>
  <c r="J34" i="4" s="1"/>
  <c r="K34" i="4" s="1"/>
  <c r="G34" i="4"/>
  <c r="H33" i="4"/>
  <c r="G33" i="4"/>
  <c r="I33" i="4" s="1"/>
  <c r="J33" i="4" s="1"/>
  <c r="K33" i="4" s="1"/>
  <c r="H32" i="4"/>
  <c r="G32" i="4"/>
  <c r="I32" i="4" s="1"/>
  <c r="J32" i="4" s="1"/>
  <c r="K32" i="4" s="1"/>
  <c r="H31" i="4"/>
  <c r="I31" i="4" s="1"/>
  <c r="J31" i="4" s="1"/>
  <c r="K31" i="4" s="1"/>
  <c r="G31" i="4"/>
  <c r="I30" i="4"/>
  <c r="J30" i="4" s="1"/>
  <c r="K30" i="4" s="1"/>
  <c r="H30" i="4"/>
  <c r="G30" i="4"/>
  <c r="H29" i="4"/>
  <c r="G29" i="4"/>
  <c r="I29" i="4" s="1"/>
  <c r="J29" i="4" s="1"/>
  <c r="K29" i="4" s="1"/>
  <c r="H28" i="4"/>
  <c r="G28" i="4"/>
  <c r="I28" i="4" s="1"/>
  <c r="J28" i="4" s="1"/>
  <c r="K28" i="4" s="1"/>
  <c r="I27" i="4"/>
  <c r="J27" i="4" s="1"/>
  <c r="K27" i="4" s="1"/>
  <c r="H27" i="4"/>
  <c r="G27" i="4"/>
  <c r="H26" i="4"/>
  <c r="G26" i="4"/>
  <c r="I26" i="4" s="1"/>
  <c r="J26" i="4" s="1"/>
  <c r="K26" i="4" s="1"/>
  <c r="H25" i="4"/>
  <c r="G25" i="4"/>
  <c r="I25" i="4" s="1"/>
  <c r="J25" i="4" s="1"/>
  <c r="K25" i="4" s="1"/>
  <c r="H24" i="4"/>
  <c r="I24" i="4" s="1"/>
  <c r="J24" i="4" s="1"/>
  <c r="K24" i="4" s="1"/>
  <c r="G24" i="4"/>
  <c r="I23" i="4"/>
  <c r="J23" i="4" s="1"/>
  <c r="K23" i="4" s="1"/>
  <c r="H23" i="4"/>
  <c r="G23" i="4"/>
  <c r="H22" i="4"/>
  <c r="G22" i="4"/>
  <c r="I22" i="4" s="1"/>
  <c r="J22" i="4" s="1"/>
  <c r="K22" i="4" s="1"/>
  <c r="H21" i="4"/>
  <c r="I21" i="4" s="1"/>
  <c r="J21" i="4" s="1"/>
  <c r="K21" i="4" s="1"/>
  <c r="G21" i="4"/>
  <c r="I20" i="4"/>
  <c r="J20" i="4" s="1"/>
  <c r="K20" i="4" s="1"/>
  <c r="H20" i="4"/>
  <c r="G20" i="4"/>
  <c r="H19" i="4"/>
  <c r="I19" i="4" s="1"/>
  <c r="J19" i="4" s="1"/>
  <c r="K19" i="4" s="1"/>
  <c r="G19" i="4"/>
  <c r="H18" i="4"/>
  <c r="G18" i="4"/>
  <c r="I18" i="4" s="1"/>
  <c r="J18" i="4" s="1"/>
  <c r="K18" i="4" s="1"/>
  <c r="H17" i="4"/>
  <c r="G17" i="4"/>
  <c r="I17" i="4" s="1"/>
  <c r="J17" i="4" s="1"/>
  <c r="K17" i="4" s="1"/>
  <c r="H16" i="4"/>
  <c r="I16" i="4" s="1"/>
  <c r="J16" i="4" s="1"/>
  <c r="K16" i="4" s="1"/>
  <c r="G16" i="4"/>
  <c r="H15" i="4"/>
  <c r="I15" i="4" s="1"/>
  <c r="J15" i="4" s="1"/>
  <c r="K15" i="4" s="1"/>
  <c r="G15" i="4"/>
  <c r="H14" i="4"/>
  <c r="G14" i="4"/>
  <c r="I14" i="4" s="1"/>
  <c r="J14" i="4" s="1"/>
  <c r="K14" i="4" s="1"/>
  <c r="H13" i="4"/>
  <c r="G13" i="4"/>
  <c r="I13" i="4" s="1"/>
  <c r="J13" i="4" s="1"/>
  <c r="K13" i="4" s="1"/>
  <c r="I12" i="4"/>
  <c r="J12" i="4" s="1"/>
  <c r="K12" i="4" s="1"/>
  <c r="H12" i="4"/>
  <c r="G12" i="4"/>
  <c r="H11" i="4"/>
  <c r="I11" i="4" s="1"/>
  <c r="J11" i="4" s="1"/>
  <c r="K11" i="4" s="1"/>
  <c r="G11" i="4"/>
  <c r="H10" i="4"/>
  <c r="G10" i="4"/>
  <c r="I10" i="4" s="1"/>
  <c r="J10" i="4" s="1"/>
  <c r="K10" i="4" s="1"/>
  <c r="H9" i="4"/>
  <c r="G9" i="4"/>
  <c r="H8" i="4"/>
  <c r="G8" i="4"/>
  <c r="I8" i="4" s="1"/>
  <c r="J8" i="4" s="1"/>
  <c r="K8" i="4" s="1"/>
  <c r="H7" i="4"/>
  <c r="G7" i="4"/>
  <c r="I7" i="4" s="1"/>
  <c r="J7" i="4" s="1"/>
  <c r="K7" i="4" s="1"/>
  <c r="J6" i="4"/>
  <c r="K6" i="4" s="1"/>
  <c r="I6" i="4"/>
  <c r="H6" i="4"/>
  <c r="G6" i="4"/>
  <c r="H5" i="4"/>
  <c r="G5" i="4"/>
  <c r="I5" i="4" s="1"/>
  <c r="J5" i="4" s="1"/>
  <c r="K5" i="4" s="1"/>
  <c r="H4" i="4"/>
  <c r="G4" i="4"/>
  <c r="A4" i="4"/>
  <c r="A10" i="4" s="1"/>
  <c r="A16" i="4" s="1"/>
  <c r="A22" i="4" s="1"/>
  <c r="A28" i="4" s="1"/>
  <c r="A34" i="4" s="1"/>
  <c r="A40" i="4" s="1"/>
  <c r="A46" i="4" s="1"/>
  <c r="A52" i="4" s="1"/>
  <c r="A58" i="4" s="1"/>
  <c r="A64" i="4" s="1"/>
  <c r="A70" i="4" s="1"/>
  <c r="A76" i="4" s="1"/>
  <c r="A82" i="4" s="1"/>
  <c r="A88" i="4" s="1"/>
  <c r="A94" i="4" s="1"/>
  <c r="A100" i="4" s="1"/>
  <c r="A106" i="4" s="1"/>
  <c r="A112" i="4" s="1"/>
  <c r="A118" i="4" s="1"/>
  <c r="A124" i="4" s="1"/>
  <c r="A130" i="4" s="1"/>
  <c r="A136" i="4" s="1"/>
  <c r="A142" i="4" s="1"/>
  <c r="A148" i="4" s="1"/>
  <c r="A154" i="4" s="1"/>
  <c r="A160" i="4" s="1"/>
  <c r="A166" i="4" s="1"/>
  <c r="A172" i="4" s="1"/>
  <c r="A178" i="4" s="1"/>
  <c r="A184" i="4" s="1"/>
  <c r="F3" i="4"/>
  <c r="O1" i="4"/>
  <c r="M1" i="4"/>
  <c r="I4" i="4" l="1"/>
  <c r="J4" i="4" s="1"/>
  <c r="I9" i="4"/>
  <c r="J9" i="4" s="1"/>
  <c r="K9" i="4" s="1"/>
  <c r="I95" i="4"/>
  <c r="J95" i="4" s="1"/>
  <c r="K95" i="4" s="1"/>
  <c r="I82" i="4"/>
  <c r="J82" i="4" s="1"/>
  <c r="K82" i="4" s="1"/>
  <c r="I102" i="4"/>
  <c r="J102" i="4" s="1"/>
  <c r="K102" i="4" s="1"/>
  <c r="N18" i="4" l="1"/>
  <c r="O18" i="4" s="1"/>
  <c r="N13" i="4"/>
  <c r="O13" i="4" s="1"/>
  <c r="N8" i="4"/>
  <c r="O8" i="4" s="1"/>
  <c r="N19" i="4"/>
  <c r="O19" i="4" s="1"/>
  <c r="N14" i="4"/>
  <c r="O14" i="4" s="1"/>
  <c r="N10" i="4"/>
  <c r="O10" i="4" s="1"/>
  <c r="N9" i="4"/>
  <c r="O9" i="4" s="1"/>
  <c r="N16" i="4"/>
  <c r="O16" i="4" s="1"/>
  <c r="N15" i="4"/>
  <c r="O15" i="4" s="1"/>
  <c r="N11" i="4"/>
  <c r="O11" i="4" s="1"/>
  <c r="N17" i="4"/>
  <c r="O17" i="4" s="1"/>
  <c r="N12" i="4"/>
  <c r="O12" i="4" s="1"/>
  <c r="N7" i="4"/>
  <c r="O7" i="4" s="1"/>
  <c r="N6" i="4"/>
  <c r="O6" i="4" s="1"/>
  <c r="K4" i="4"/>
  <c r="N5" i="4"/>
  <c r="O5" i="4" s="1"/>
  <c r="N4" i="4"/>
  <c r="O4" i="4" l="1"/>
  <c r="O3" i="4" s="1"/>
  <c r="N3" i="4"/>
</calcChain>
</file>

<file path=xl/sharedStrings.xml><?xml version="1.0" encoding="utf-8"?>
<sst xmlns="http://schemas.openxmlformats.org/spreadsheetml/2006/main" count="237" uniqueCount="26">
  <si>
    <t>akumulasi penjualan menu</t>
  </si>
  <si>
    <t>tanggal</t>
  </si>
  <si>
    <t>shift</t>
  </si>
  <si>
    <t>jam</t>
  </si>
  <si>
    <t>personel 1</t>
  </si>
  <si>
    <t>personel 2</t>
  </si>
  <si>
    <t>Penjualan Menu</t>
  </si>
  <si>
    <t>no</t>
  </si>
  <si>
    <t>komisi</t>
  </si>
  <si>
    <t>nama</t>
  </si>
  <si>
    <t>shift 1</t>
  </si>
  <si>
    <t>rini</t>
  </si>
  <si>
    <t>glg</t>
  </si>
  <si>
    <t>ridwan</t>
  </si>
  <si>
    <t>hen</t>
  </si>
  <si>
    <t>shift 2</t>
  </si>
  <si>
    <t>hafis</t>
  </si>
  <si>
    <t>yuli</t>
  </si>
  <si>
    <t>shift 3</t>
  </si>
  <si>
    <t>ronal</t>
  </si>
  <si>
    <t>al</t>
  </si>
  <si>
    <t>arif</t>
  </si>
  <si>
    <t>awang</t>
  </si>
  <si>
    <t>-</t>
  </si>
  <si>
    <t>yoga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</si>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</sst>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m\ yyyy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969696"/>
      <name val="Arial"/>
    </font>
    <font>
      <b/>
      <sz val="10"/>
      <color rgb="FFFF0000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3" xfId="0" applyFont="1" applyFill="1" applyBorder="1"/>
    <xf numFmtId="3" fontId="1" fillId="0" borderId="3" xfId="0" applyNumberFormat="1" applyFont="1" applyBorder="1"/>
    <xf numFmtId="165" fontId="1" fillId="2" borderId="6" xfId="0" applyNumberFormat="1" applyFont="1" applyFill="1" applyBorder="1" applyAlignment="1"/>
    <xf numFmtId="0" fontId="1" fillId="0" borderId="7" xfId="0" applyFont="1" applyBorder="1"/>
    <xf numFmtId="165" fontId="1" fillId="0" borderId="0" xfId="0" applyNumberFormat="1" applyFont="1"/>
    <xf numFmtId="0" fontId="4" fillId="0" borderId="0" xfId="0" applyFont="1" applyAlignment="1">
      <alignment horizontal="right"/>
    </xf>
    <xf numFmtId="1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/>
    <xf numFmtId="0" fontId="1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2" fillId="0" borderId="14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2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/>
    <xf numFmtId="3" fontId="1" fillId="2" borderId="1" xfId="0" applyNumberFormat="1" applyFont="1" applyFill="1" applyBorder="1" applyAlignment="1">
      <alignment vertical="center"/>
    </xf>
    <xf numFmtId="0" fontId="1" fillId="0" borderId="3" xfId="0" applyFont="1" applyBorder="1"/>
    <xf numFmtId="0" fontId="6" fillId="0" borderId="0" xfId="0" applyFont="1"/>
    <xf numFmtId="3" fontId="1" fillId="2" borderId="3" xfId="0" applyNumberFormat="1" applyFont="1" applyFill="1" applyBorder="1" applyAlignment="1">
      <alignment vertical="center"/>
    </xf>
    <xf numFmtId="17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0" fontId="1" fillId="2" borderId="3" xfId="0" quotePrefix="1" applyFont="1" applyFill="1" applyBorder="1"/>
    <xf numFmtId="3" fontId="1" fillId="2" borderId="3" xfId="0" applyNumberFormat="1" applyFont="1" applyFill="1" applyBorder="1" applyAlignment="1"/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3" fillId="0" borderId="2" xfId="0" applyFont="1" applyBorder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16" fontId="1" fillId="0" borderId="5" xfId="0" applyNumberFormat="1" applyFont="1" applyBorder="1" applyAlignment="1">
      <alignment horizontal="center" vertical="center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showGridLines="0" tabSelected="1" workbookViewId="0">
      <pane ySplit="3" topLeftCell="A4" activePane="bottomLeft" state="frozen"/>
      <selection pane="bottomLeft" activeCell="B4" sqref="B4: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3">
        <v>45717</v>
      </c>
      <c r="F1" s="4"/>
      <c r="M1" s="5">
        <f>A1</f>
        <v>45717</v>
      </c>
      <c r="O1" s="6" t="e">
        <f>#REF!</f>
        <v>#REF!</v>
      </c>
    </row>
    <row r="2" spans="1:15" ht="12.75" customHeight="1" x14ac:dyDescent="0.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/>
      <c r="H2" s="10"/>
      <c r="I2" s="10"/>
      <c r="L2" s="33" t="s">
        <v>7</v>
      </c>
      <c r="M2" s="35" t="s">
        <v>0</v>
      </c>
      <c r="N2" s="36"/>
      <c r="O2" s="11" t="s">
        <v>8</v>
      </c>
    </row>
    <row r="3" spans="1:15" ht="12.75" customHeight="1" x14ac:dyDescent="0.2">
      <c r="A3" s="12"/>
      <c r="B3" s="12"/>
      <c r="C3" s="13"/>
      <c r="D3" s="13" t="s">
        <v>9</v>
      </c>
      <c r="E3" s="13" t="s">
        <v>9</v>
      </c>
      <c r="F3" s="14">
        <f>SUM(F4:F189)</f>
        <v>928000</v>
      </c>
      <c r="G3" s="15"/>
      <c r="H3" s="16"/>
      <c r="I3" s="17"/>
      <c r="J3" s="18"/>
      <c r="L3" s="34"/>
      <c r="M3" s="19"/>
      <c r="N3" s="20">
        <f t="shared" ref="N3:O3" si="0">SUM(N4:N14)</f>
        <v>928000</v>
      </c>
      <c r="O3" s="20">
        <f t="shared" si="0"/>
        <v>46400</v>
      </c>
    </row>
    <row r="4" spans="1:15" ht="12.75" customHeight="1" x14ac:dyDescent="0.2">
      <c r="A4" s="37">
        <f>A1</f>
        <v>45717</v>
      </c>
      <c r="B4" s="33" t="s">
        <v>10</v>
      </c>
      <c r="C4" s="21"/>
      <c r="D4" s="22" t="s">
        <v>20</v>
      </c>
      <c r="E4" s="1"/>
      <c r="F4" s="23">
        <v>10000</v>
      </c>
      <c r="G4" s="24">
        <f t="shared" ref="G4:H4" si="1">IF(OR(D4=$M$4,D4=$M$5,D4=$M$6,D4=$M$7,D4=$M$8,D4=$M$9,D4=$M$10,D4=$M$11,D4=$M$12,D4=$M$13,D4=$M$14,D4=$M$15,D4=$M$16,D4=$M$17,D4=$M$18,D4=$M$19),1,0)</f>
        <v>1</v>
      </c>
      <c r="H4" s="24">
        <f t="shared" si="1"/>
        <v>0</v>
      </c>
      <c r="I4" s="24">
        <f t="shared" ref="I4:I189" si="2">G4+H4</f>
        <v>1</v>
      </c>
      <c r="J4" s="2">
        <f t="shared" ref="J4:J189" si="3">IF(I4=0,0,F4/I4)</f>
        <v>10000</v>
      </c>
      <c r="K4" s="25" t="str">
        <f t="shared" ref="K4:K189" si="4">IF(J4&gt;0,"*","")</f>
        <v>*</v>
      </c>
      <c r="L4" s="24">
        <v>1</v>
      </c>
      <c r="M4" s="22" t="s">
        <v>12</v>
      </c>
      <c r="N4" s="2">
        <f t="shared" ref="N4:N19" si="5">SUMPRODUCT(($D$4:$D$190=M4)*$J$4:$J$190)+SUMPRODUCT(($E$4:$E$190=M4)*$J$4:$J$190)</f>
        <v>0</v>
      </c>
      <c r="O4" s="2">
        <f t="shared" ref="O4:O19" si="6">5%*N4</f>
        <v>0</v>
      </c>
    </row>
    <row r="5" spans="1:15" ht="12.75" customHeight="1" x14ac:dyDescent="0.2">
      <c r="A5" s="38"/>
      <c r="B5" s="34"/>
      <c r="C5" s="21"/>
      <c r="D5" s="22"/>
      <c r="E5" s="1"/>
      <c r="F5" s="26"/>
      <c r="G5" s="24">
        <f t="shared" ref="G5:H5" si="7">IF(OR(D5=$M$4,D5=$M$5,D5=$M$6,D5=$M$7,D5=$M$8,D5=$M$9,D5=$M$10,D5=$M$11,D5=$M$12,D5=$M$13,D5=$M$14,D5=$M$15,D5=$M$16,D5=$M$17,D5=$M$18,D5=$M$19),1,0)</f>
        <v>0</v>
      </c>
      <c r="H5" s="24">
        <f t="shared" si="7"/>
        <v>0</v>
      </c>
      <c r="I5" s="24">
        <f t="shared" si="2"/>
        <v>0</v>
      </c>
      <c r="J5" s="2">
        <f t="shared" si="3"/>
        <v>0</v>
      </c>
      <c r="K5" s="25" t="str">
        <f t="shared" si="4"/>
        <v/>
      </c>
      <c r="L5" s="24">
        <v>2</v>
      </c>
      <c r="M5" s="22" t="s">
        <v>14</v>
      </c>
      <c r="N5" s="2">
        <f t="shared" si="5"/>
        <v>285000</v>
      </c>
      <c r="O5" s="2">
        <f t="shared" si="6"/>
        <v>14250</v>
      </c>
    </row>
    <row r="6" spans="1:15" ht="12.75" customHeight="1" x14ac:dyDescent="0.2">
      <c r="A6" s="38"/>
      <c r="B6" s="33" t="s">
        <v>15</v>
      </c>
      <c r="C6" s="27"/>
      <c r="D6" s="22"/>
      <c r="E6" s="1"/>
      <c r="F6" s="26"/>
      <c r="G6" s="24">
        <f t="shared" ref="G6:H6" si="8">IF(OR(D6=$M$4,D6=$M$5,D6=$M$6,D6=$M$7,D6=$M$8,D6=$M$9,D6=$M$10,D6=$M$11,D6=$M$12,D6=$M$13,D6=$M$14,D6=$M$15,D6=$M$16,D6=$M$17,D6=$M$18,D6=$M$19),1,0)</f>
        <v>0</v>
      </c>
      <c r="H6" s="24">
        <f t="shared" si="8"/>
        <v>0</v>
      </c>
      <c r="I6" s="24">
        <f t="shared" si="2"/>
        <v>0</v>
      </c>
      <c r="J6" s="2">
        <f t="shared" si="3"/>
        <v>0</v>
      </c>
      <c r="K6" s="25" t="str">
        <f t="shared" si="4"/>
        <v/>
      </c>
      <c r="L6" s="24">
        <v>3</v>
      </c>
      <c r="M6" s="22" t="s">
        <v>16</v>
      </c>
      <c r="N6" s="2">
        <f t="shared" si="5"/>
        <v>84000</v>
      </c>
      <c r="O6" s="2">
        <f t="shared" si="6"/>
        <v>4200</v>
      </c>
    </row>
    <row r="7" spans="1:15" ht="12.75" customHeight="1" x14ac:dyDescent="0.2">
      <c r="A7" s="38"/>
      <c r="B7" s="34"/>
      <c r="C7" s="21"/>
      <c r="D7" s="22" t="s">
        <v>14</v>
      </c>
      <c r="E7" s="1"/>
      <c r="F7" s="26">
        <v>12000</v>
      </c>
      <c r="G7" s="24">
        <f t="shared" ref="G7:H7" si="9">IF(OR(D7=$M$4,D7=$M$5,D7=$M$6,D7=$M$7,D7=$M$8,D7=$M$9,D7=$M$10,D7=$M$11,D7=$M$12,D7=$M$13,D7=$M$14,D7=$M$15,D7=$M$16,D7=$M$17,D7=$M$18,D7=$M$19),1,0)</f>
        <v>1</v>
      </c>
      <c r="H7" s="24">
        <f t="shared" si="9"/>
        <v>0</v>
      </c>
      <c r="I7" s="24">
        <f t="shared" si="2"/>
        <v>1</v>
      </c>
      <c r="J7" s="2">
        <f t="shared" si="3"/>
        <v>12000</v>
      </c>
      <c r="K7" s="25" t="str">
        <f t="shared" si="4"/>
        <v>*</v>
      </c>
      <c r="L7" s="24">
        <v>4</v>
      </c>
      <c r="M7" s="22" t="s">
        <v>17</v>
      </c>
      <c r="N7" s="2">
        <f t="shared" si="5"/>
        <v>86000</v>
      </c>
      <c r="O7" s="2">
        <f t="shared" si="6"/>
        <v>4300</v>
      </c>
    </row>
    <row r="8" spans="1:15" ht="12.75" customHeight="1" x14ac:dyDescent="0.2">
      <c r="A8" s="38"/>
      <c r="B8" s="33" t="s">
        <v>18</v>
      </c>
      <c r="C8" s="21"/>
      <c r="D8" s="22" t="s">
        <v>16</v>
      </c>
      <c r="E8" s="1"/>
      <c r="F8" s="26">
        <v>12000</v>
      </c>
      <c r="G8" s="24">
        <f t="shared" ref="G8:H8" si="10">IF(OR(D8=$M$4,D8=$M$5,D8=$M$6,D8=$M$7,D8=$M$8,D8=$M$9,D8=$M$10,D8=$M$11,D8=$M$12,D8=$M$13,D8=$M$14,D8=$M$15,D8=$M$16,D8=$M$17,D8=$M$18,D8=$M$19),1,0)</f>
        <v>1</v>
      </c>
      <c r="H8" s="24">
        <f t="shared" si="10"/>
        <v>0</v>
      </c>
      <c r="I8" s="24">
        <f t="shared" si="2"/>
        <v>1</v>
      </c>
      <c r="J8" s="2">
        <f t="shared" si="3"/>
        <v>12000</v>
      </c>
      <c r="K8" s="25" t="str">
        <f t="shared" si="4"/>
        <v>*</v>
      </c>
      <c r="L8" s="24">
        <v>5</v>
      </c>
      <c r="M8" s="22" t="s">
        <v>11</v>
      </c>
      <c r="N8" s="2">
        <f t="shared" si="5"/>
        <v>162000</v>
      </c>
      <c r="O8" s="2">
        <f t="shared" si="6"/>
        <v>8100</v>
      </c>
    </row>
    <row r="9" spans="1:15" ht="12.75" customHeight="1" x14ac:dyDescent="0.2">
      <c r="A9" s="34"/>
      <c r="B9" s="34"/>
      <c r="C9" s="21"/>
      <c r="D9" s="22"/>
      <c r="E9" s="1"/>
      <c r="F9" s="26"/>
      <c r="G9" s="24">
        <f t="shared" ref="G9:H9" si="11">IF(OR(D9=$M$4,D9=$M$5,D9=$M$6,D9=$M$7,D9=$M$8,D9=$M$9,D9=$M$10,D9=$M$11,D9=$M$12,D9=$M$13,D9=$M$14,D9=$M$15,D9=$M$16,D9=$M$17,D9=$M$18,D9=$M$19),1,0)</f>
        <v>0</v>
      </c>
      <c r="H9" s="24">
        <f t="shared" si="11"/>
        <v>0</v>
      </c>
      <c r="I9" s="24">
        <f t="shared" si="2"/>
        <v>0</v>
      </c>
      <c r="J9" s="2">
        <f t="shared" si="3"/>
        <v>0</v>
      </c>
      <c r="K9" s="25" t="str">
        <f t="shared" si="4"/>
        <v/>
      </c>
      <c r="L9" s="24">
        <v>6</v>
      </c>
      <c r="M9" s="22" t="s">
        <v>20</v>
      </c>
      <c r="N9" s="2">
        <f t="shared" si="5"/>
        <v>42000</v>
      </c>
      <c r="O9" s="2">
        <f t="shared" si="6"/>
        <v>2100</v>
      </c>
    </row>
    <row r="10" spans="1:15" ht="12.75" customHeight="1" x14ac:dyDescent="0.2">
      <c r="A10" s="37">
        <f>A4+1</f>
        <v>45718</v>
      </c>
      <c r="B10" s="33" t="s">
        <v>10</v>
      </c>
      <c r="C10" s="21"/>
      <c r="D10" s="22" t="s">
        <v>13</v>
      </c>
      <c r="E10" s="1"/>
      <c r="F10" s="26">
        <v>4000</v>
      </c>
      <c r="G10" s="24">
        <f t="shared" ref="G10:H10" si="12">IF(OR(D10=$M$4,D10=$M$5,D10=$M$6,D10=$M$7,D10=$M$8,D10=$M$9,D10=$M$10,D10=$M$11,D10=$M$12,D10=$M$13,D10=$M$14,D10=$M$15,D10=$M$16,D10=$M$17,D10=$M$18,D10=$M$19),1,0)</f>
        <v>1</v>
      </c>
      <c r="H10" s="24">
        <f t="shared" si="12"/>
        <v>0</v>
      </c>
      <c r="I10" s="24">
        <f t="shared" si="2"/>
        <v>1</v>
      </c>
      <c r="J10" s="2">
        <f t="shared" si="3"/>
        <v>4000</v>
      </c>
      <c r="K10" s="25" t="str">
        <f t="shared" si="4"/>
        <v>*</v>
      </c>
      <c r="L10" s="24">
        <v>7</v>
      </c>
      <c r="M10" s="22" t="s">
        <v>19</v>
      </c>
      <c r="N10" s="2">
        <f t="shared" si="5"/>
        <v>24000</v>
      </c>
      <c r="O10" s="2">
        <f t="shared" si="6"/>
        <v>1200</v>
      </c>
    </row>
    <row r="11" spans="1:15" ht="12.75" customHeight="1" x14ac:dyDescent="0.2">
      <c r="A11" s="38"/>
      <c r="B11" s="34"/>
      <c r="C11" s="21"/>
      <c r="D11" s="22"/>
      <c r="E11" s="1"/>
      <c r="F11" s="26"/>
      <c r="G11" s="24">
        <f t="shared" ref="G11:H11" si="13">IF(OR(D11=$M$4,D11=$M$5,D11=$M$6,D11=$M$7,D11=$M$8,D11=$M$9,D11=$M$10,D11=$M$11,D11=$M$12,D11=$M$13,D11=$M$14,D11=$M$15,D11=$M$16,D11=$M$17,D11=$M$18,D11=$M$19),1,0)</f>
        <v>0</v>
      </c>
      <c r="H11" s="24">
        <f t="shared" si="13"/>
        <v>0</v>
      </c>
      <c r="I11" s="24">
        <f t="shared" si="2"/>
        <v>0</v>
      </c>
      <c r="J11" s="2">
        <f t="shared" si="3"/>
        <v>0</v>
      </c>
      <c r="K11" s="25" t="str">
        <f t="shared" si="4"/>
        <v/>
      </c>
      <c r="L11" s="24">
        <v>8</v>
      </c>
      <c r="M11" s="22" t="s">
        <v>21</v>
      </c>
      <c r="N11" s="2">
        <f t="shared" si="5"/>
        <v>49000</v>
      </c>
      <c r="O11" s="2">
        <f t="shared" si="6"/>
        <v>2450</v>
      </c>
    </row>
    <row r="12" spans="1:15" ht="12.75" customHeight="1" x14ac:dyDescent="0.2">
      <c r="A12" s="38"/>
      <c r="B12" s="33" t="s">
        <v>15</v>
      </c>
      <c r="C12" s="27"/>
      <c r="D12" s="22"/>
      <c r="E12" s="1"/>
      <c r="F12" s="26"/>
      <c r="G12" s="24">
        <f t="shared" ref="G12:H12" si="14">IF(OR(D12=$M$4,D12=$M$5,D12=$M$6,D12=$M$7,D12=$M$8,D12=$M$9,D12=$M$10,D12=$M$11,D12=$M$12,D12=$M$13,D12=$M$14,D12=$M$15,D12=$M$16,D12=$M$17,D12=$M$18,D12=$M$19),1,0)</f>
        <v>0</v>
      </c>
      <c r="H12" s="24">
        <f t="shared" si="14"/>
        <v>0</v>
      </c>
      <c r="I12" s="24">
        <f t="shared" si="2"/>
        <v>0</v>
      </c>
      <c r="J12" s="2">
        <f t="shared" si="3"/>
        <v>0</v>
      </c>
      <c r="K12" s="25" t="str">
        <f t="shared" si="4"/>
        <v/>
      </c>
      <c r="L12" s="24">
        <v>9</v>
      </c>
      <c r="M12" s="22" t="s">
        <v>13</v>
      </c>
      <c r="N12" s="2">
        <f t="shared" si="5"/>
        <v>116000</v>
      </c>
      <c r="O12" s="2">
        <f t="shared" si="6"/>
        <v>5800</v>
      </c>
    </row>
    <row r="13" spans="1:15" ht="12.75" customHeight="1" x14ac:dyDescent="0.2">
      <c r="A13" s="38"/>
      <c r="B13" s="34"/>
      <c r="C13" s="21"/>
      <c r="D13" s="22"/>
      <c r="E13" s="1"/>
      <c r="F13" s="26"/>
      <c r="G13" s="24">
        <f t="shared" ref="G13:H13" si="15">IF(OR(D13=$M$4,D13=$M$5,D13=$M$6,D13=$M$7,D13=$M$8,D13=$M$9,D13=$M$10,D13=$M$11,D13=$M$12,D13=$M$13,D13=$M$14,D13=$M$15,D13=$M$16,D13=$M$17,D13=$M$18,D13=$M$19),1,0)</f>
        <v>0</v>
      </c>
      <c r="H13" s="24">
        <f t="shared" si="15"/>
        <v>0</v>
      </c>
      <c r="I13" s="24">
        <f t="shared" si="2"/>
        <v>0</v>
      </c>
      <c r="J13" s="2">
        <f t="shared" si="3"/>
        <v>0</v>
      </c>
      <c r="K13" s="25" t="str">
        <f t="shared" si="4"/>
        <v/>
      </c>
      <c r="L13" s="24">
        <v>10</v>
      </c>
      <c r="M13" s="22" t="s">
        <v>22</v>
      </c>
      <c r="N13" s="2">
        <f t="shared" si="5"/>
        <v>40000</v>
      </c>
      <c r="O13" s="2">
        <f t="shared" si="6"/>
        <v>2000</v>
      </c>
    </row>
    <row r="14" spans="1:15" ht="12.75" customHeight="1" x14ac:dyDescent="0.2">
      <c r="A14" s="38"/>
      <c r="B14" s="33" t="s">
        <v>18</v>
      </c>
      <c r="C14" s="21"/>
      <c r="D14" s="22" t="s">
        <v>21</v>
      </c>
      <c r="E14" s="1"/>
      <c r="F14" s="26">
        <v>4000</v>
      </c>
      <c r="G14" s="24">
        <f t="shared" ref="G14:H14" si="16">IF(OR(D14=$M$4,D14=$M$5,D14=$M$6,D14=$M$7,D14=$M$8,D14=$M$9,D14=$M$10,D14=$M$11,D14=$M$12,D14=$M$13,D14=$M$14,D14=$M$15,D14=$M$16,D14=$M$17,D14=$M$18,D14=$M$19),1,0)</f>
        <v>1</v>
      </c>
      <c r="H14" s="24">
        <f t="shared" si="16"/>
        <v>0</v>
      </c>
      <c r="I14" s="24">
        <f t="shared" si="2"/>
        <v>1</v>
      </c>
      <c r="J14" s="2">
        <f t="shared" si="3"/>
        <v>4000</v>
      </c>
      <c r="K14" s="25" t="str">
        <f t="shared" si="4"/>
        <v>*</v>
      </c>
      <c r="L14" s="24">
        <v>11</v>
      </c>
      <c r="M14" s="22" t="s">
        <v>24</v>
      </c>
      <c r="N14" s="2">
        <f t="shared" si="5"/>
        <v>40000</v>
      </c>
      <c r="O14" s="2">
        <f t="shared" si="6"/>
        <v>2000</v>
      </c>
    </row>
    <row r="15" spans="1:15" ht="12.75" customHeight="1" x14ac:dyDescent="0.2">
      <c r="A15" s="34"/>
      <c r="B15" s="34"/>
      <c r="C15" s="21"/>
      <c r="D15" s="22"/>
      <c r="E15" s="1"/>
      <c r="F15" s="26"/>
      <c r="G15" s="24">
        <f t="shared" ref="G15:H15" si="17">IF(OR(D15=$M$4,D15=$M$5,D15=$M$6,D15=$M$7,D15=$M$8,D15=$M$9,D15=$M$10,D15=$M$11,D15=$M$12,D15=$M$13,D15=$M$14,D15=$M$15,D15=$M$16,D15=$M$17,D15=$M$18,D15=$M$19),1,0)</f>
        <v>0</v>
      </c>
      <c r="H15" s="24">
        <f t="shared" si="17"/>
        <v>0</v>
      </c>
      <c r="I15" s="24">
        <f t="shared" si="2"/>
        <v>0</v>
      </c>
      <c r="J15" s="2">
        <f t="shared" si="3"/>
        <v>0</v>
      </c>
      <c r="K15" s="25" t="str">
        <f t="shared" si="4"/>
        <v/>
      </c>
      <c r="L15" s="24">
        <v>12</v>
      </c>
      <c r="M15" s="29" t="s">
        <v>23</v>
      </c>
      <c r="N15" s="2">
        <f t="shared" si="5"/>
        <v>0</v>
      </c>
      <c r="O15" s="2">
        <f t="shared" si="6"/>
        <v>0</v>
      </c>
    </row>
    <row r="16" spans="1:15" ht="12.75" customHeight="1" x14ac:dyDescent="0.2">
      <c r="A16" s="37">
        <f>A10+1</f>
        <v>45719</v>
      </c>
      <c r="B16" s="33" t="s">
        <v>10</v>
      </c>
      <c r="C16" s="21"/>
      <c r="D16" s="22" t="s">
        <v>11</v>
      </c>
      <c r="E16" s="1"/>
      <c r="F16" s="26">
        <v>5000</v>
      </c>
      <c r="G16" s="24">
        <f t="shared" ref="G16:H16" si="18">IF(OR(D16=$M$4,D16=$M$5,D16=$M$6,D16=$M$7,D16=$M$8,D16=$M$9,D16=$M$10,D16=$M$11,D16=$M$12,D16=$M$13,D16=$M$14,D16=$M$15,D16=$M$16,D16=$M$17,D16=$M$18,D16=$M$19),1,0)</f>
        <v>1</v>
      </c>
      <c r="H16" s="24">
        <f t="shared" si="18"/>
        <v>0</v>
      </c>
      <c r="I16" s="24">
        <f t="shared" si="2"/>
        <v>1</v>
      </c>
      <c r="J16" s="2">
        <f t="shared" si="3"/>
        <v>5000</v>
      </c>
      <c r="K16" s="25" t="str">
        <f t="shared" si="4"/>
        <v>*</v>
      </c>
      <c r="L16" s="24">
        <v>13</v>
      </c>
      <c r="M16" s="29" t="s">
        <v>23</v>
      </c>
      <c r="N16" s="2">
        <f t="shared" si="5"/>
        <v>0</v>
      </c>
      <c r="O16" s="2">
        <f t="shared" si="6"/>
        <v>0</v>
      </c>
    </row>
    <row r="17" spans="1:15" ht="12.75" customHeight="1" x14ac:dyDescent="0.2">
      <c r="A17" s="38"/>
      <c r="B17" s="34"/>
      <c r="C17" s="21"/>
      <c r="D17" s="22" t="s">
        <v>13</v>
      </c>
      <c r="E17" s="1"/>
      <c r="F17" s="26">
        <v>4000</v>
      </c>
      <c r="G17" s="24">
        <f t="shared" ref="G17:H17" si="19">IF(OR(D17=$M$4,D17=$M$5,D17=$M$6,D17=$M$7,D17=$M$8,D17=$M$9,D17=$M$10,D17=$M$11,D17=$M$12,D17=$M$13,D17=$M$14,D17=$M$15,D17=$M$16,D17=$M$17,D17=$M$18,D17=$M$19),1,0)</f>
        <v>1</v>
      </c>
      <c r="H17" s="24">
        <f t="shared" si="19"/>
        <v>0</v>
      </c>
      <c r="I17" s="24">
        <f t="shared" si="2"/>
        <v>1</v>
      </c>
      <c r="J17" s="2">
        <f t="shared" si="3"/>
        <v>4000</v>
      </c>
      <c r="K17" s="25" t="str">
        <f t="shared" si="4"/>
        <v>*</v>
      </c>
      <c r="L17" s="24">
        <v>14</v>
      </c>
      <c r="M17" s="29" t="s">
        <v>23</v>
      </c>
      <c r="N17" s="2">
        <f t="shared" si="5"/>
        <v>0</v>
      </c>
      <c r="O17" s="2">
        <f t="shared" si="6"/>
        <v>0</v>
      </c>
    </row>
    <row r="18" spans="1:15" ht="12.75" customHeight="1" x14ac:dyDescent="0.2">
      <c r="A18" s="38"/>
      <c r="B18" s="33" t="s">
        <v>15</v>
      </c>
      <c r="C18" s="27"/>
      <c r="D18" s="22" t="s">
        <v>17</v>
      </c>
      <c r="E18" s="1"/>
      <c r="F18" s="26">
        <v>8000</v>
      </c>
      <c r="G18" s="24">
        <f t="shared" ref="G18:H18" si="20">IF(OR(D18=$M$4,D18=$M$5,D18=$M$6,D18=$M$7,D18=$M$8,D18=$M$9,D18=$M$10,D18=$M$11,D18=$M$12,D18=$M$13,D18=$M$14,D18=$M$15,D18=$M$16,D18=$M$17,D18=$M$18,D18=$M$19),1,0)</f>
        <v>1</v>
      </c>
      <c r="H18" s="24">
        <f t="shared" si="20"/>
        <v>0</v>
      </c>
      <c r="I18" s="24">
        <f t="shared" si="2"/>
        <v>1</v>
      </c>
      <c r="J18" s="2">
        <f t="shared" si="3"/>
        <v>8000</v>
      </c>
      <c r="K18" s="25" t="str">
        <f t="shared" si="4"/>
        <v>*</v>
      </c>
      <c r="L18" s="24">
        <v>15</v>
      </c>
      <c r="M18" s="29" t="s">
        <v>23</v>
      </c>
      <c r="N18" s="2">
        <f t="shared" si="5"/>
        <v>0</v>
      </c>
      <c r="O18" s="2">
        <f t="shared" si="6"/>
        <v>0</v>
      </c>
    </row>
    <row r="19" spans="1:15" ht="12.75" customHeight="1" x14ac:dyDescent="0.2">
      <c r="A19" s="38"/>
      <c r="B19" s="34"/>
      <c r="C19" s="21"/>
      <c r="D19" s="22" t="s">
        <v>14</v>
      </c>
      <c r="E19" s="1"/>
      <c r="F19" s="26">
        <v>21000</v>
      </c>
      <c r="G19" s="24">
        <f t="shared" ref="G19:H19" si="21">IF(OR(D19=$M$4,D19=$M$5,D19=$M$6,D19=$M$7,D19=$M$8,D19=$M$9,D19=$M$10,D19=$M$11,D19=$M$12,D19=$M$13,D19=$M$14,D19=$M$15,D19=$M$16,D19=$M$17,D19=$M$18,D19=$M$19),1,0)</f>
        <v>1</v>
      </c>
      <c r="H19" s="24">
        <f t="shared" si="21"/>
        <v>0</v>
      </c>
      <c r="I19" s="24">
        <f t="shared" si="2"/>
        <v>1</v>
      </c>
      <c r="J19" s="2">
        <f t="shared" si="3"/>
        <v>21000</v>
      </c>
      <c r="K19" s="25" t="str">
        <f t="shared" si="4"/>
        <v>*</v>
      </c>
      <c r="L19" s="24">
        <v>16</v>
      </c>
      <c r="M19" s="29" t="s">
        <v>23</v>
      </c>
      <c r="N19" s="2">
        <f t="shared" si="5"/>
        <v>0</v>
      </c>
      <c r="O19" s="2">
        <f t="shared" si="6"/>
        <v>0</v>
      </c>
    </row>
    <row r="20" spans="1:15" ht="12.75" customHeight="1" x14ac:dyDescent="0.2">
      <c r="A20" s="38"/>
      <c r="B20" s="33" t="s">
        <v>18</v>
      </c>
      <c r="C20" s="21"/>
      <c r="D20" s="22" t="s">
        <v>16</v>
      </c>
      <c r="E20" s="1"/>
      <c r="F20" s="26">
        <v>4000</v>
      </c>
      <c r="G20" s="24">
        <f t="shared" ref="G20:H20" si="22">IF(OR(D20=$M$4,D20=$M$5,D20=$M$6,D20=$M$7,D20=$M$8,D20=$M$9,D20=$M$10,D20=$M$11,D20=$M$12,D20=$M$13,D20=$M$14,D20=$M$15,D20=$M$16,D20=$M$17,D20=$M$18,D20=$M$19),1,0)</f>
        <v>1</v>
      </c>
      <c r="H20" s="24">
        <f t="shared" si="22"/>
        <v>0</v>
      </c>
      <c r="I20" s="24">
        <f t="shared" si="2"/>
        <v>1</v>
      </c>
      <c r="J20" s="2">
        <f t="shared" si="3"/>
        <v>4000</v>
      </c>
      <c r="K20" s="25" t="str">
        <f t="shared" si="4"/>
        <v>*</v>
      </c>
    </row>
    <row r="21" spans="1:15" ht="12.75" customHeight="1" x14ac:dyDescent="0.2">
      <c r="A21" s="34"/>
      <c r="B21" s="34"/>
      <c r="C21" s="21"/>
      <c r="D21" s="22"/>
      <c r="E21" s="1"/>
      <c r="F21" s="26"/>
      <c r="G21" s="24">
        <f t="shared" ref="G21:H21" si="23">IF(OR(D21=$M$4,D21=$M$5,D21=$M$6,D21=$M$7,D21=$M$8,D21=$M$9,D21=$M$10,D21=$M$11,D21=$M$12,D21=$M$13,D21=$M$14,D21=$M$15,D21=$M$16,D21=$M$17,D21=$M$18,D21=$M$19),1,0)</f>
        <v>0</v>
      </c>
      <c r="H21" s="24">
        <f t="shared" si="23"/>
        <v>0</v>
      </c>
      <c r="I21" s="24">
        <f t="shared" si="2"/>
        <v>0</v>
      </c>
      <c r="J21" s="2">
        <f t="shared" si="3"/>
        <v>0</v>
      </c>
      <c r="K21" s="25" t="str">
        <f t="shared" si="4"/>
        <v/>
      </c>
    </row>
    <row r="22" spans="1:15" ht="12.75" customHeight="1" x14ac:dyDescent="0.2">
      <c r="A22" s="37">
        <f>A16+1</f>
        <v>45720</v>
      </c>
      <c r="B22" s="33" t="s">
        <v>10</v>
      </c>
      <c r="C22" s="21"/>
      <c r="D22" s="22"/>
      <c r="E22" s="1"/>
      <c r="F22" s="26"/>
      <c r="G22" s="24">
        <f t="shared" ref="G22:H22" si="24">IF(OR(D22=$M$4,D22=$M$5,D22=$M$6,D22=$M$7,D22=$M$8,D22=$M$9,D22=$M$10,D22=$M$11,D22=$M$12,D22=$M$13,D22=$M$14,D22=$M$15,D22=$M$16,D22=$M$17,D22=$M$18,D22=$M$19),1,0)</f>
        <v>0</v>
      </c>
      <c r="H22" s="24">
        <f t="shared" si="24"/>
        <v>0</v>
      </c>
      <c r="I22" s="24">
        <f t="shared" si="2"/>
        <v>0</v>
      </c>
      <c r="J22" s="2">
        <f t="shared" si="3"/>
        <v>0</v>
      </c>
      <c r="K22" s="25" t="str">
        <f t="shared" si="4"/>
        <v/>
      </c>
    </row>
    <row r="23" spans="1:15" ht="12.75" customHeight="1" x14ac:dyDescent="0.2">
      <c r="A23" s="38"/>
      <c r="B23" s="34"/>
      <c r="C23" s="21"/>
      <c r="D23" s="22"/>
      <c r="E23" s="1"/>
      <c r="F23" s="26"/>
      <c r="G23" s="24">
        <f t="shared" ref="G23:H23" si="25">IF(OR(D23=$M$4,D23=$M$5,D23=$M$6,D23=$M$7,D23=$M$8,D23=$M$9,D23=$M$10,D23=$M$11,D23=$M$12,D23=$M$13,D23=$M$14,D23=$M$15,D23=$M$16,D23=$M$17,D23=$M$18,D23=$M$19),1,0)</f>
        <v>0</v>
      </c>
      <c r="H23" s="24">
        <f t="shared" si="25"/>
        <v>0</v>
      </c>
      <c r="I23" s="24">
        <f t="shared" si="2"/>
        <v>0</v>
      </c>
      <c r="J23" s="2">
        <f t="shared" si="3"/>
        <v>0</v>
      </c>
      <c r="K23" s="25" t="str">
        <f t="shared" si="4"/>
        <v/>
      </c>
    </row>
    <row r="24" spans="1:15" ht="12.75" customHeight="1" x14ac:dyDescent="0.2">
      <c r="A24" s="38"/>
      <c r="B24" s="33" t="s">
        <v>15</v>
      </c>
      <c r="C24" s="27"/>
      <c r="D24" s="22"/>
      <c r="E24" s="1"/>
      <c r="F24" s="26"/>
      <c r="G24" s="24">
        <f t="shared" ref="G24:H24" si="26">IF(OR(D24=$M$4,D24=$M$5,D24=$M$6,D24=$M$7,D24=$M$8,D24=$M$9,D24=$M$10,D24=$M$11,D24=$M$12,D24=$M$13,D24=$M$14,D24=$M$15,D24=$M$16,D24=$M$17,D24=$M$18,D24=$M$19),1,0)</f>
        <v>0</v>
      </c>
      <c r="H24" s="24">
        <f t="shared" si="26"/>
        <v>0</v>
      </c>
      <c r="I24" s="24">
        <f t="shared" si="2"/>
        <v>0</v>
      </c>
      <c r="J24" s="2">
        <f t="shared" si="3"/>
        <v>0</v>
      </c>
      <c r="K24" s="25" t="str">
        <f t="shared" si="4"/>
        <v/>
      </c>
    </row>
    <row r="25" spans="1:15" ht="12.75" customHeight="1" x14ac:dyDescent="0.2">
      <c r="A25" s="38"/>
      <c r="B25" s="34"/>
      <c r="C25" s="21"/>
      <c r="D25" s="22" t="s">
        <v>19</v>
      </c>
      <c r="E25" s="1"/>
      <c r="F25" s="26">
        <v>4000</v>
      </c>
      <c r="G25" s="24">
        <f t="shared" ref="G25:H25" si="27">IF(OR(D25=$M$4,D25=$M$5,D25=$M$6,D25=$M$7,D25=$M$8,D25=$M$9,D25=$M$10,D25=$M$11,D25=$M$12,D25=$M$13,D25=$M$14,D25=$M$15,D25=$M$16,D25=$M$17,D25=$M$18,D25=$M$19),1,0)</f>
        <v>1</v>
      </c>
      <c r="H25" s="24">
        <f t="shared" si="27"/>
        <v>0</v>
      </c>
      <c r="I25" s="24">
        <f t="shared" si="2"/>
        <v>1</v>
      </c>
      <c r="J25" s="2">
        <f t="shared" si="3"/>
        <v>4000</v>
      </c>
      <c r="K25" s="25" t="str">
        <f t="shared" si="4"/>
        <v>*</v>
      </c>
    </row>
    <row r="26" spans="1:15" ht="12.75" customHeight="1" x14ac:dyDescent="0.2">
      <c r="A26" s="38"/>
      <c r="B26" s="33" t="s">
        <v>18</v>
      </c>
      <c r="C26" s="21"/>
      <c r="D26" s="22" t="s">
        <v>14</v>
      </c>
      <c r="E26" s="1"/>
      <c r="F26" s="26">
        <v>8000</v>
      </c>
      <c r="G26" s="24">
        <f t="shared" ref="G26:H26" si="28">IF(OR(D26=$M$4,D26=$M$5,D26=$M$6,D26=$M$7,D26=$M$8,D26=$M$9,D26=$M$10,D26=$M$11,D26=$M$12,D26=$M$13,D26=$M$14,D26=$M$15,D26=$M$16,D26=$M$17,D26=$M$18,D26=$M$19),1,0)</f>
        <v>1</v>
      </c>
      <c r="H26" s="24">
        <f t="shared" si="28"/>
        <v>0</v>
      </c>
      <c r="I26" s="24">
        <f t="shared" si="2"/>
        <v>1</v>
      </c>
      <c r="J26" s="2">
        <f t="shared" si="3"/>
        <v>8000</v>
      </c>
      <c r="K26" s="25" t="str">
        <f t="shared" si="4"/>
        <v>*</v>
      </c>
    </row>
    <row r="27" spans="1:15" ht="12.75" customHeight="1" x14ac:dyDescent="0.2">
      <c r="A27" s="34"/>
      <c r="B27" s="34"/>
      <c r="C27" s="21"/>
      <c r="D27" s="22"/>
      <c r="E27" s="1"/>
      <c r="F27" s="26"/>
      <c r="G27" s="24">
        <f t="shared" ref="G27:H27" si="29">IF(OR(D27=$M$4,D27=$M$5,D27=$M$6,D27=$M$7,D27=$M$8,D27=$M$9,D27=$M$10,D27=$M$11,D27=$M$12,D27=$M$13,D27=$M$14,D27=$M$15,D27=$M$16,D27=$M$17,D27=$M$18,D27=$M$19),1,0)</f>
        <v>0</v>
      </c>
      <c r="H27" s="24">
        <f t="shared" si="29"/>
        <v>0</v>
      </c>
      <c r="I27" s="24">
        <f t="shared" si="2"/>
        <v>0</v>
      </c>
      <c r="J27" s="2">
        <f t="shared" si="3"/>
        <v>0</v>
      </c>
      <c r="K27" s="25" t="str">
        <f t="shared" si="4"/>
        <v/>
      </c>
    </row>
    <row r="28" spans="1:15" ht="12.75" customHeight="1" x14ac:dyDescent="0.2">
      <c r="A28" s="37">
        <f>A22+1</f>
        <v>45721</v>
      </c>
      <c r="B28" s="33" t="s">
        <v>10</v>
      </c>
      <c r="C28" s="21"/>
      <c r="D28" s="22" t="s">
        <v>11</v>
      </c>
      <c r="E28" s="1"/>
      <c r="F28" s="26">
        <v>4000</v>
      </c>
      <c r="G28" s="24">
        <f t="shared" ref="G28:H28" si="30">IF(OR(D28=$M$4,D28=$M$5,D28=$M$6,D28=$M$7,D28=$M$8,D28=$M$9,D28=$M$10,D28=$M$11,D28=$M$12,D28=$M$13,D28=$M$14,D28=$M$15,D28=$M$16,D28=$M$17,D28=$M$18,D28=$M$19),1,0)</f>
        <v>1</v>
      </c>
      <c r="H28" s="24">
        <f t="shared" si="30"/>
        <v>0</v>
      </c>
      <c r="I28" s="24">
        <f t="shared" si="2"/>
        <v>1</v>
      </c>
      <c r="J28" s="2">
        <f t="shared" si="3"/>
        <v>4000</v>
      </c>
      <c r="K28" s="25" t="str">
        <f t="shared" si="4"/>
        <v>*</v>
      </c>
    </row>
    <row r="29" spans="1:15" ht="12.75" customHeight="1" x14ac:dyDescent="0.2">
      <c r="A29" s="38"/>
      <c r="B29" s="34"/>
      <c r="C29" s="21"/>
      <c r="D29" s="22" t="s">
        <v>13</v>
      </c>
      <c r="E29" s="1"/>
      <c r="F29" s="26">
        <v>8000</v>
      </c>
      <c r="G29" s="24">
        <f t="shared" ref="G29:H29" si="31">IF(OR(D29=$M$4,D29=$M$5,D29=$M$6,D29=$M$7,D29=$M$8,D29=$M$9,D29=$M$10,D29=$M$11,D29=$M$12,D29=$M$13,D29=$M$14,D29=$M$15,D29=$M$16,D29=$M$17,D29=$M$18,D29=$M$19),1,0)</f>
        <v>1</v>
      </c>
      <c r="H29" s="24">
        <f t="shared" si="31"/>
        <v>0</v>
      </c>
      <c r="I29" s="24">
        <f t="shared" si="2"/>
        <v>1</v>
      </c>
      <c r="J29" s="2">
        <f t="shared" si="3"/>
        <v>8000</v>
      </c>
      <c r="K29" s="25" t="str">
        <f t="shared" si="4"/>
        <v>*</v>
      </c>
    </row>
    <row r="30" spans="1:15" ht="12.75" customHeight="1" x14ac:dyDescent="0.2">
      <c r="A30" s="38"/>
      <c r="B30" s="33" t="s">
        <v>15</v>
      </c>
      <c r="C30" s="27"/>
      <c r="D30" s="22"/>
      <c r="E30" s="1"/>
      <c r="F30" s="26"/>
      <c r="G30" s="24">
        <f t="shared" ref="G30:H30" si="32">IF(OR(D30=$M$4,D30=$M$5,D30=$M$6,D30=$M$7,D30=$M$8,D30=$M$9,D30=$M$10,D30=$M$11,D30=$M$12,D30=$M$13,D30=$M$14,D30=$M$15,D30=$M$16,D30=$M$17,D30=$M$18,D30=$M$19),1,0)</f>
        <v>0</v>
      </c>
      <c r="H30" s="24">
        <f t="shared" si="32"/>
        <v>0</v>
      </c>
      <c r="I30" s="24">
        <f t="shared" si="2"/>
        <v>0</v>
      </c>
      <c r="J30" s="2">
        <f t="shared" si="3"/>
        <v>0</v>
      </c>
      <c r="K30" s="25" t="str">
        <f t="shared" si="4"/>
        <v/>
      </c>
    </row>
    <row r="31" spans="1:15" ht="12.75" customHeight="1" x14ac:dyDescent="0.2">
      <c r="A31" s="38"/>
      <c r="B31" s="34"/>
      <c r="C31" s="21"/>
      <c r="D31" s="22"/>
      <c r="E31" s="1"/>
      <c r="F31" s="26"/>
      <c r="G31" s="24">
        <f t="shared" ref="G31:H31" si="33">IF(OR(D31=$M$4,D31=$M$5,D31=$M$6,D31=$M$7,D31=$M$8,D31=$M$9,D31=$M$10,D31=$M$11,D31=$M$12,D31=$M$13,D31=$M$14,D31=$M$15,D31=$M$16,D31=$M$17,D31=$M$18,D31=$M$19),1,0)</f>
        <v>0</v>
      </c>
      <c r="H31" s="24">
        <f t="shared" si="33"/>
        <v>0</v>
      </c>
      <c r="I31" s="24">
        <f t="shared" si="2"/>
        <v>0</v>
      </c>
      <c r="J31" s="2">
        <f t="shared" si="3"/>
        <v>0</v>
      </c>
      <c r="K31" s="25" t="str">
        <f t="shared" si="4"/>
        <v/>
      </c>
    </row>
    <row r="32" spans="1:15" ht="12.75" customHeight="1" x14ac:dyDescent="0.2">
      <c r="A32" s="38"/>
      <c r="B32" s="33" t="s">
        <v>18</v>
      </c>
      <c r="C32" s="21"/>
      <c r="D32" s="22"/>
      <c r="E32" s="1"/>
      <c r="F32" s="26"/>
      <c r="G32" s="24">
        <f t="shared" ref="G32:H32" si="34">IF(OR(D32=$M$4,D32=$M$5,D32=$M$6,D32=$M$7,D32=$M$8,D32=$M$9,D32=$M$10,D32=$M$11,D32=$M$12,D32=$M$13,D32=$M$14,D32=$M$15,D32=$M$16,D32=$M$17,D32=$M$18,D32=$M$19),1,0)</f>
        <v>0</v>
      </c>
      <c r="H32" s="24">
        <f t="shared" si="34"/>
        <v>0</v>
      </c>
      <c r="I32" s="24">
        <f t="shared" si="2"/>
        <v>0</v>
      </c>
      <c r="J32" s="2">
        <f t="shared" si="3"/>
        <v>0</v>
      </c>
      <c r="K32" s="25" t="str">
        <f t="shared" si="4"/>
        <v/>
      </c>
    </row>
    <row r="33" spans="1:11" ht="12.75" customHeight="1" x14ac:dyDescent="0.2">
      <c r="A33" s="34"/>
      <c r="B33" s="34"/>
      <c r="C33" s="21"/>
      <c r="D33" s="22"/>
      <c r="E33" s="1"/>
      <c r="F33" s="26"/>
      <c r="G33" s="24">
        <f t="shared" ref="G33:H33" si="35">IF(OR(D33=$M$4,D33=$M$5,D33=$M$6,D33=$M$7,D33=$M$8,D33=$M$9,D33=$M$10,D33=$M$11,D33=$M$12,D33=$M$13,D33=$M$14,D33=$M$15,D33=$M$16,D33=$M$17,D33=$M$18,D33=$M$19),1,0)</f>
        <v>0</v>
      </c>
      <c r="H33" s="24">
        <f t="shared" si="35"/>
        <v>0</v>
      </c>
      <c r="I33" s="24">
        <f t="shared" si="2"/>
        <v>0</v>
      </c>
      <c r="J33" s="2">
        <f t="shared" si="3"/>
        <v>0</v>
      </c>
      <c r="K33" s="25" t="str">
        <f t="shared" si="4"/>
        <v/>
      </c>
    </row>
    <row r="34" spans="1:11" ht="12.75" customHeight="1" x14ac:dyDescent="0.2">
      <c r="A34" s="37">
        <f>A28+1</f>
        <v>45722</v>
      </c>
      <c r="B34" s="33" t="s">
        <v>10</v>
      </c>
      <c r="C34" s="21"/>
      <c r="D34" s="22"/>
      <c r="E34" s="1"/>
      <c r="F34" s="26"/>
      <c r="G34" s="24">
        <f t="shared" ref="G34:H34" si="36">IF(OR(D34=$M$4,D34=$M$5,D34=$M$6,D34=$M$7,D34=$M$8,D34=$M$9,D34=$M$10,D34=$M$11,D34=$M$12,D34=$M$13,D34=$M$14,D34=$M$15,D34=$M$16,D34=$M$17,D34=$M$18,D34=$M$19),1,0)</f>
        <v>0</v>
      </c>
      <c r="H34" s="24">
        <f t="shared" si="36"/>
        <v>0</v>
      </c>
      <c r="I34" s="24">
        <f t="shared" si="2"/>
        <v>0</v>
      </c>
      <c r="J34" s="2">
        <f t="shared" si="3"/>
        <v>0</v>
      </c>
      <c r="K34" s="25" t="str">
        <f t="shared" si="4"/>
        <v/>
      </c>
    </row>
    <row r="35" spans="1:11" ht="12.75" customHeight="1" x14ac:dyDescent="0.2">
      <c r="A35" s="38"/>
      <c r="B35" s="34"/>
      <c r="C35" s="21"/>
      <c r="D35" s="22"/>
      <c r="E35" s="1"/>
      <c r="F35" s="26"/>
      <c r="G35" s="24">
        <f t="shared" ref="G35:H35" si="37">IF(OR(D35=$M$4,D35=$M$5,D35=$M$6,D35=$M$7,D35=$M$8,D35=$M$9,D35=$M$10,D35=$M$11,D35=$M$12,D35=$M$13,D35=$M$14,D35=$M$15,D35=$M$16,D35=$M$17,D35=$M$18,D35=$M$19),1,0)</f>
        <v>0</v>
      </c>
      <c r="H35" s="24">
        <f t="shared" si="37"/>
        <v>0</v>
      </c>
      <c r="I35" s="24">
        <f t="shared" si="2"/>
        <v>0</v>
      </c>
      <c r="J35" s="2">
        <f t="shared" si="3"/>
        <v>0</v>
      </c>
      <c r="K35" s="25" t="str">
        <f t="shared" si="4"/>
        <v/>
      </c>
    </row>
    <row r="36" spans="1:11" ht="12.75" customHeight="1" x14ac:dyDescent="0.2">
      <c r="A36" s="38"/>
      <c r="B36" s="33" t="s">
        <v>15</v>
      </c>
      <c r="C36" s="27"/>
      <c r="D36" s="22" t="s">
        <v>17</v>
      </c>
      <c r="E36" s="1"/>
      <c r="F36" s="26">
        <v>8000</v>
      </c>
      <c r="G36" s="24">
        <f t="shared" ref="G36:H36" si="38">IF(OR(D36=$M$4,D36=$M$5,D36=$M$6,D36=$M$7,D36=$M$8,D36=$M$9,D36=$M$10,D36=$M$11,D36=$M$12,D36=$M$13,D36=$M$14,D36=$M$15,D36=$M$16,D36=$M$17,D36=$M$18,D36=$M$19),1,0)</f>
        <v>1</v>
      </c>
      <c r="H36" s="24">
        <f t="shared" si="38"/>
        <v>0</v>
      </c>
      <c r="I36" s="24">
        <f t="shared" si="2"/>
        <v>1</v>
      </c>
      <c r="J36" s="2">
        <f t="shared" si="3"/>
        <v>8000</v>
      </c>
      <c r="K36" s="25" t="str">
        <f t="shared" si="4"/>
        <v>*</v>
      </c>
    </row>
    <row r="37" spans="1:11" ht="12.75" customHeight="1" x14ac:dyDescent="0.2">
      <c r="A37" s="38"/>
      <c r="B37" s="34"/>
      <c r="C37" s="21"/>
      <c r="D37" s="22"/>
      <c r="E37" s="1"/>
      <c r="F37" s="26"/>
      <c r="G37" s="24">
        <f t="shared" ref="G37:H37" si="39">IF(OR(D37=$M$4,D37=$M$5,D37=$M$6,D37=$M$7,D37=$M$8,D37=$M$9,D37=$M$10,D37=$M$11,D37=$M$12,D37=$M$13,D37=$M$14,D37=$M$15,D37=$M$16,D37=$M$17,D37=$M$18,D37=$M$19),1,0)</f>
        <v>0</v>
      </c>
      <c r="H37" s="24">
        <f t="shared" si="39"/>
        <v>0</v>
      </c>
      <c r="I37" s="24">
        <f t="shared" si="2"/>
        <v>0</v>
      </c>
      <c r="J37" s="2">
        <f t="shared" si="3"/>
        <v>0</v>
      </c>
      <c r="K37" s="25" t="str">
        <f t="shared" si="4"/>
        <v/>
      </c>
    </row>
    <row r="38" spans="1:11" ht="12.75" customHeight="1" x14ac:dyDescent="0.2">
      <c r="A38" s="38"/>
      <c r="B38" s="33" t="s">
        <v>18</v>
      </c>
      <c r="C38" s="21"/>
      <c r="D38" s="22"/>
      <c r="E38" s="1"/>
      <c r="F38" s="26"/>
      <c r="G38" s="24">
        <f t="shared" ref="G38:H38" si="40">IF(OR(D38=$M$4,D38=$M$5,D38=$M$6,D38=$M$7,D38=$M$8,D38=$M$9,D38=$M$10,D38=$M$11,D38=$M$12,D38=$M$13,D38=$M$14,D38=$M$15,D38=$M$16,D38=$M$17,D38=$M$18,D38=$M$19),1,0)</f>
        <v>0</v>
      </c>
      <c r="H38" s="24">
        <f t="shared" si="40"/>
        <v>0</v>
      </c>
      <c r="I38" s="24">
        <f t="shared" si="2"/>
        <v>0</v>
      </c>
      <c r="J38" s="2">
        <f t="shared" si="3"/>
        <v>0</v>
      </c>
      <c r="K38" s="25" t="str">
        <f t="shared" si="4"/>
        <v/>
      </c>
    </row>
    <row r="39" spans="1:11" ht="12.75" customHeight="1" x14ac:dyDescent="0.2">
      <c r="A39" s="34"/>
      <c r="B39" s="34"/>
      <c r="C39" s="21"/>
      <c r="D39" s="22"/>
      <c r="E39" s="1"/>
      <c r="F39" s="26"/>
      <c r="G39" s="24">
        <f t="shared" ref="G39:H39" si="41">IF(OR(D39=$M$4,D39=$M$5,D39=$M$6,D39=$M$7,D39=$M$8,D39=$M$9,D39=$M$10,D39=$M$11,D39=$M$12,D39=$M$13,D39=$M$14,D39=$M$15,D39=$M$16,D39=$M$17,D39=$M$18,D39=$M$19),1,0)</f>
        <v>0</v>
      </c>
      <c r="H39" s="24">
        <f t="shared" si="41"/>
        <v>0</v>
      </c>
      <c r="I39" s="24">
        <f t="shared" si="2"/>
        <v>0</v>
      </c>
      <c r="J39" s="2">
        <f t="shared" si="3"/>
        <v>0</v>
      </c>
      <c r="K39" s="25" t="str">
        <f t="shared" si="4"/>
        <v/>
      </c>
    </row>
    <row r="40" spans="1:11" ht="12.75" customHeight="1" x14ac:dyDescent="0.2">
      <c r="A40" s="37">
        <f>A34+1</f>
        <v>45723</v>
      </c>
      <c r="B40" s="33" t="s">
        <v>10</v>
      </c>
      <c r="C40" s="21"/>
      <c r="D40" s="22" t="s">
        <v>21</v>
      </c>
      <c r="E40" s="1"/>
      <c r="F40" s="30">
        <v>4000</v>
      </c>
      <c r="G40" s="24">
        <f t="shared" ref="G40:H40" si="42">IF(OR(D40=$M$4,D40=$M$5,D40=$M$6,D40=$M$7,D40=$M$8,D40=$M$9,D40=$M$10,D40=$M$11,D40=$M$12,D40=$M$13,D40=$M$14,D40=$M$15,D40=$M$16,D40=$M$17,D40=$M$18,D40=$M$19),1,0)</f>
        <v>1</v>
      </c>
      <c r="H40" s="24">
        <f t="shared" si="42"/>
        <v>0</v>
      </c>
      <c r="I40" s="24">
        <f t="shared" si="2"/>
        <v>1</v>
      </c>
      <c r="J40" s="2">
        <f t="shared" si="3"/>
        <v>4000</v>
      </c>
      <c r="K40" s="25" t="str">
        <f t="shared" si="4"/>
        <v>*</v>
      </c>
    </row>
    <row r="41" spans="1:11" ht="12.75" customHeight="1" x14ac:dyDescent="0.2">
      <c r="A41" s="38"/>
      <c r="B41" s="34"/>
      <c r="C41" s="21"/>
      <c r="D41" s="22" t="s">
        <v>13</v>
      </c>
      <c r="E41" s="1"/>
      <c r="F41" s="26">
        <v>4000</v>
      </c>
      <c r="G41" s="24">
        <f t="shared" ref="G41:H41" si="43">IF(OR(D41=$M$4,D41=$M$5,D41=$M$6,D41=$M$7,D41=$M$8,D41=$M$9,D41=$M$10,D41=$M$11,D41=$M$12,D41=$M$13,D41=$M$14,D41=$M$15,D41=$M$16,D41=$M$17,D41=$M$18,D41=$M$19),1,0)</f>
        <v>1</v>
      </c>
      <c r="H41" s="24">
        <f t="shared" si="43"/>
        <v>0</v>
      </c>
      <c r="I41" s="24">
        <f t="shared" si="2"/>
        <v>1</v>
      </c>
      <c r="J41" s="2">
        <f t="shared" si="3"/>
        <v>4000</v>
      </c>
      <c r="K41" s="25" t="str">
        <f t="shared" si="4"/>
        <v>*</v>
      </c>
    </row>
    <row r="42" spans="1:11" ht="12.75" customHeight="1" x14ac:dyDescent="0.2">
      <c r="A42" s="38"/>
      <c r="B42" s="33" t="s">
        <v>15</v>
      </c>
      <c r="C42" s="21"/>
      <c r="D42" s="22" t="s">
        <v>19</v>
      </c>
      <c r="E42" s="1"/>
      <c r="F42" s="26">
        <v>4000</v>
      </c>
      <c r="G42" s="24">
        <f t="shared" ref="G42:H42" si="44">IF(OR(D42=$M$4,D42=$M$5,D42=$M$6,D42=$M$7,D42=$M$8,D42=$M$9,D42=$M$10,D42=$M$11,D42=$M$12,D42=$M$13,D42=$M$14,D42=$M$15,D42=$M$16,D42=$M$17,D42=$M$18,D42=$M$19),1,0)</f>
        <v>1</v>
      </c>
      <c r="H42" s="24">
        <f t="shared" si="44"/>
        <v>0</v>
      </c>
      <c r="I42" s="24">
        <f t="shared" si="2"/>
        <v>1</v>
      </c>
      <c r="J42" s="2">
        <f t="shared" si="3"/>
        <v>4000</v>
      </c>
      <c r="K42" s="25" t="str">
        <f t="shared" si="4"/>
        <v>*</v>
      </c>
    </row>
    <row r="43" spans="1:11" ht="12.75" customHeight="1" x14ac:dyDescent="0.2">
      <c r="A43" s="38"/>
      <c r="B43" s="34"/>
      <c r="C43" s="21"/>
      <c r="D43" s="22"/>
      <c r="E43" s="1"/>
      <c r="F43" s="26"/>
      <c r="G43" s="24">
        <f t="shared" ref="G43:H43" si="45">IF(OR(D43=$M$4,D43=$M$5,D43=$M$6,D43=$M$7,D43=$M$8,D43=$M$9,D43=$M$10,D43=$M$11,D43=$M$12,D43=$M$13,D43=$M$14,D43=$M$15,D43=$M$16,D43=$M$17,D43=$M$18,D43=$M$19),1,0)</f>
        <v>0</v>
      </c>
      <c r="H43" s="24">
        <f t="shared" si="45"/>
        <v>0</v>
      </c>
      <c r="I43" s="24">
        <f t="shared" si="2"/>
        <v>0</v>
      </c>
      <c r="J43" s="2">
        <f t="shared" si="3"/>
        <v>0</v>
      </c>
      <c r="K43" s="25" t="str">
        <f t="shared" si="4"/>
        <v/>
      </c>
    </row>
    <row r="44" spans="1:11" ht="12.75" customHeight="1" x14ac:dyDescent="0.2">
      <c r="A44" s="38"/>
      <c r="B44" s="33" t="s">
        <v>18</v>
      </c>
      <c r="C44" s="21"/>
      <c r="D44" s="22" t="s">
        <v>14</v>
      </c>
      <c r="E44" s="1"/>
      <c r="F44" s="26">
        <v>4000</v>
      </c>
      <c r="G44" s="24">
        <f t="shared" ref="G44:H44" si="46">IF(OR(D44=$M$4,D44=$M$5,D44=$M$6,D44=$M$7,D44=$M$8,D44=$M$9,D44=$M$10,D44=$M$11,D44=$M$12,D44=$M$13,D44=$M$14,D44=$M$15,D44=$M$16,D44=$M$17,D44=$M$18,D44=$M$19),1,0)</f>
        <v>1</v>
      </c>
      <c r="H44" s="24">
        <f t="shared" si="46"/>
        <v>0</v>
      </c>
      <c r="I44" s="24">
        <f t="shared" si="2"/>
        <v>1</v>
      </c>
      <c r="J44" s="2">
        <f t="shared" si="3"/>
        <v>4000</v>
      </c>
      <c r="K44" s="25" t="str">
        <f t="shared" si="4"/>
        <v>*</v>
      </c>
    </row>
    <row r="45" spans="1:11" ht="12.75" customHeight="1" x14ac:dyDescent="0.2">
      <c r="A45" s="34"/>
      <c r="B45" s="34"/>
      <c r="C45" s="21"/>
      <c r="D45" s="22" t="s">
        <v>20</v>
      </c>
      <c r="E45" s="1"/>
      <c r="F45" s="26">
        <v>8000</v>
      </c>
      <c r="G45" s="24">
        <f t="shared" ref="G45:H45" si="47">IF(OR(D45=$M$4,D45=$M$5,D45=$M$6,D45=$M$7,D45=$M$8,D45=$M$9,D45=$M$10,D45=$M$11,D45=$M$12,D45=$M$13,D45=$M$14,D45=$M$15,D45=$M$16,D45=$M$17,D45=$M$18,D45=$M$19),1,0)</f>
        <v>1</v>
      </c>
      <c r="H45" s="24">
        <f t="shared" si="47"/>
        <v>0</v>
      </c>
      <c r="I45" s="24">
        <f t="shared" si="2"/>
        <v>1</v>
      </c>
      <c r="J45" s="2">
        <f t="shared" si="3"/>
        <v>8000</v>
      </c>
      <c r="K45" s="25" t="str">
        <f t="shared" si="4"/>
        <v>*</v>
      </c>
    </row>
    <row r="46" spans="1:11" ht="12.75" customHeight="1" x14ac:dyDescent="0.2">
      <c r="A46" s="37">
        <f>A40+1</f>
        <v>45724</v>
      </c>
      <c r="B46" s="33" t="s">
        <v>10</v>
      </c>
      <c r="C46" s="21"/>
      <c r="D46" s="22" t="s">
        <v>13</v>
      </c>
      <c r="E46" s="1"/>
      <c r="F46" s="26">
        <v>8000</v>
      </c>
      <c r="G46" s="24">
        <f t="shared" ref="G46:H46" si="48">IF(OR(D46=$M$4,D46=$M$5,D46=$M$6,D46=$M$7,D46=$M$8,D46=$M$9,D46=$M$10,D46=$M$11,D46=$M$12,D46=$M$13,D46=$M$14,D46=$M$15,D46=$M$16,D46=$M$17,D46=$M$18,D46=$M$19),1,0)</f>
        <v>1</v>
      </c>
      <c r="H46" s="24">
        <f t="shared" si="48"/>
        <v>0</v>
      </c>
      <c r="I46" s="24">
        <f t="shared" si="2"/>
        <v>1</v>
      </c>
      <c r="J46" s="2">
        <f t="shared" si="3"/>
        <v>8000</v>
      </c>
      <c r="K46" s="25" t="str">
        <f t="shared" si="4"/>
        <v>*</v>
      </c>
    </row>
    <row r="47" spans="1:11" ht="12.75" customHeight="1" x14ac:dyDescent="0.2">
      <c r="A47" s="38"/>
      <c r="B47" s="34"/>
      <c r="C47" s="21"/>
      <c r="D47" s="22" t="s">
        <v>16</v>
      </c>
      <c r="E47" s="1"/>
      <c r="F47" s="26">
        <v>8000</v>
      </c>
      <c r="G47" s="24">
        <f t="shared" ref="G47:H47" si="49">IF(OR(D47=$M$4,D47=$M$5,D47=$M$6,D47=$M$7,D47=$M$8,D47=$M$9,D47=$M$10,D47=$M$11,D47=$M$12,D47=$M$13,D47=$M$14,D47=$M$15,D47=$M$16,D47=$M$17,D47=$M$18,D47=$M$19),1,0)</f>
        <v>1</v>
      </c>
      <c r="H47" s="24">
        <f t="shared" si="49"/>
        <v>0</v>
      </c>
      <c r="I47" s="24">
        <f t="shared" si="2"/>
        <v>1</v>
      </c>
      <c r="J47" s="2">
        <f t="shared" si="3"/>
        <v>8000</v>
      </c>
      <c r="K47" s="25" t="str">
        <f t="shared" si="4"/>
        <v>*</v>
      </c>
    </row>
    <row r="48" spans="1:11" ht="12.75" customHeight="1" x14ac:dyDescent="0.2">
      <c r="A48" s="38"/>
      <c r="B48" s="33" t="s">
        <v>15</v>
      </c>
      <c r="C48" s="21"/>
      <c r="D48" s="22"/>
      <c r="E48" s="1"/>
      <c r="F48" s="26"/>
      <c r="G48" s="24">
        <f t="shared" ref="G48:H48" si="50">IF(OR(D48=$M$4,D48=$M$5,D48=$M$6,D48=$M$7,D48=$M$8,D48=$M$9,D48=$M$10,D48=$M$11,D48=$M$12,D48=$M$13,D48=$M$14,D48=$M$15,D48=$M$16,D48=$M$17,D48=$M$18,D48=$M$19),1,0)</f>
        <v>0</v>
      </c>
      <c r="H48" s="24">
        <f t="shared" si="50"/>
        <v>0</v>
      </c>
      <c r="I48" s="24">
        <f t="shared" si="2"/>
        <v>0</v>
      </c>
      <c r="J48" s="2">
        <f t="shared" si="3"/>
        <v>0</v>
      </c>
      <c r="K48" s="25" t="str">
        <f t="shared" si="4"/>
        <v/>
      </c>
    </row>
    <row r="49" spans="1:11" ht="12.75" customHeight="1" x14ac:dyDescent="0.2">
      <c r="A49" s="38"/>
      <c r="B49" s="34"/>
      <c r="C49" s="21"/>
      <c r="D49" s="22"/>
      <c r="E49" s="1"/>
      <c r="F49" s="26"/>
      <c r="G49" s="24">
        <f t="shared" ref="G49:H49" si="51">IF(OR(D49=$M$4,D49=$M$5,D49=$M$6,D49=$M$7,D49=$M$8,D49=$M$9,D49=$M$10,D49=$M$11,D49=$M$12,D49=$M$13,D49=$M$14,D49=$M$15,D49=$M$16,D49=$M$17,D49=$M$18,D49=$M$19),1,0)</f>
        <v>0</v>
      </c>
      <c r="H49" s="24">
        <f t="shared" si="51"/>
        <v>0</v>
      </c>
      <c r="I49" s="24">
        <f t="shared" si="2"/>
        <v>0</v>
      </c>
      <c r="J49" s="2">
        <f t="shared" si="3"/>
        <v>0</v>
      </c>
      <c r="K49" s="25" t="str">
        <f t="shared" si="4"/>
        <v/>
      </c>
    </row>
    <row r="50" spans="1:11" ht="12.75" customHeight="1" x14ac:dyDescent="0.2">
      <c r="A50" s="38"/>
      <c r="B50" s="33" t="s">
        <v>18</v>
      </c>
      <c r="C50" s="21"/>
      <c r="D50" s="22" t="s">
        <v>11</v>
      </c>
      <c r="E50" s="1"/>
      <c r="F50" s="26">
        <v>8000</v>
      </c>
      <c r="G50" s="24">
        <f t="shared" ref="G50:H50" si="52">IF(OR(D50=$M$4,D50=$M$5,D50=$M$6,D50=$M$7,D50=$M$8,D50=$M$9,D50=$M$10,D50=$M$11,D50=$M$12,D50=$M$13,D50=$M$14,D50=$M$15,D50=$M$16,D50=$M$17,D50=$M$18,D50=$M$19),1,0)</f>
        <v>1</v>
      </c>
      <c r="H50" s="24">
        <f t="shared" si="52"/>
        <v>0</v>
      </c>
      <c r="I50" s="24">
        <f t="shared" si="2"/>
        <v>1</v>
      </c>
      <c r="J50" s="2">
        <f t="shared" si="3"/>
        <v>8000</v>
      </c>
      <c r="K50" s="25" t="str">
        <f t="shared" si="4"/>
        <v>*</v>
      </c>
    </row>
    <row r="51" spans="1:11" ht="12.75" customHeight="1" x14ac:dyDescent="0.2">
      <c r="A51" s="34"/>
      <c r="B51" s="34"/>
      <c r="C51" s="21"/>
      <c r="D51" s="22" t="s">
        <v>20</v>
      </c>
      <c r="E51" s="1"/>
      <c r="F51" s="26">
        <v>4000</v>
      </c>
      <c r="G51" s="24">
        <f t="shared" ref="G51:H51" si="53">IF(OR(D51=$M$4,D51=$M$5,D51=$M$6,D51=$M$7,D51=$M$8,D51=$M$9,D51=$M$10,D51=$M$11,D51=$M$12,D51=$M$13,D51=$M$14,D51=$M$15,D51=$M$16,D51=$M$17,D51=$M$18,D51=$M$19),1,0)</f>
        <v>1</v>
      </c>
      <c r="H51" s="24">
        <f t="shared" si="53"/>
        <v>0</v>
      </c>
      <c r="I51" s="24">
        <f t="shared" si="2"/>
        <v>1</v>
      </c>
      <c r="J51" s="2">
        <f t="shared" si="3"/>
        <v>4000</v>
      </c>
      <c r="K51" s="25" t="str">
        <f t="shared" si="4"/>
        <v>*</v>
      </c>
    </row>
    <row r="52" spans="1:11" ht="12.75" customHeight="1" x14ac:dyDescent="0.2">
      <c r="A52" s="37">
        <f>A46+1</f>
        <v>45725</v>
      </c>
      <c r="B52" s="33" t="s">
        <v>10</v>
      </c>
      <c r="C52" s="21"/>
      <c r="D52" s="22" t="s">
        <v>13</v>
      </c>
      <c r="E52" s="1"/>
      <c r="F52" s="26">
        <v>4000</v>
      </c>
      <c r="G52" s="24">
        <f t="shared" ref="G52:H52" si="54">IF(OR(D52=$M$4,D52=$M$5,D52=$M$6,D52=$M$7,D52=$M$8,D52=$M$9,D52=$M$10,D52=$M$11,D52=$M$12,D52=$M$13,D52=$M$14,D52=$M$15,D52=$M$16,D52=$M$17,D52=$M$18,D52=$M$19),1,0)</f>
        <v>1</v>
      </c>
      <c r="H52" s="24">
        <f t="shared" si="54"/>
        <v>0</v>
      </c>
      <c r="I52" s="24">
        <f t="shared" si="2"/>
        <v>1</v>
      </c>
      <c r="J52" s="2">
        <f t="shared" si="3"/>
        <v>4000</v>
      </c>
      <c r="K52" s="25" t="str">
        <f t="shared" si="4"/>
        <v>*</v>
      </c>
    </row>
    <row r="53" spans="1:11" ht="12.75" customHeight="1" x14ac:dyDescent="0.2">
      <c r="A53" s="38"/>
      <c r="B53" s="34"/>
      <c r="C53" s="21"/>
      <c r="D53" s="22"/>
      <c r="E53" s="1"/>
      <c r="F53" s="26"/>
      <c r="G53" s="24">
        <f t="shared" ref="G53:H53" si="55">IF(OR(D53=$M$4,D53=$M$5,D53=$M$6,D53=$M$7,D53=$M$8,D53=$M$9,D53=$M$10,D53=$M$11,D53=$M$12,D53=$M$13,D53=$M$14,D53=$M$15,D53=$M$16,D53=$M$17,D53=$M$18,D53=$M$19),1,0)</f>
        <v>0</v>
      </c>
      <c r="H53" s="24">
        <f t="shared" si="55"/>
        <v>0</v>
      </c>
      <c r="I53" s="24">
        <f t="shared" si="2"/>
        <v>0</v>
      </c>
      <c r="J53" s="2">
        <f t="shared" si="3"/>
        <v>0</v>
      </c>
      <c r="K53" s="25" t="str">
        <f t="shared" si="4"/>
        <v/>
      </c>
    </row>
    <row r="54" spans="1:11" ht="12.75" customHeight="1" x14ac:dyDescent="0.2">
      <c r="A54" s="38"/>
      <c r="B54" s="33" t="s">
        <v>15</v>
      </c>
      <c r="C54" s="21"/>
      <c r="D54" s="22" t="s">
        <v>14</v>
      </c>
      <c r="E54" s="1"/>
      <c r="F54" s="26">
        <v>8000</v>
      </c>
      <c r="G54" s="24">
        <f t="shared" ref="G54:H54" si="56">IF(OR(D54=$M$4,D54=$M$5,D54=$M$6,D54=$M$7,D54=$M$8,D54=$M$9,D54=$M$10,D54=$M$11,D54=$M$12,D54=$M$13,D54=$M$14,D54=$M$15,D54=$M$16,D54=$M$17,D54=$M$18,D54=$M$19),1,0)</f>
        <v>1</v>
      </c>
      <c r="H54" s="24">
        <f t="shared" si="56"/>
        <v>0</v>
      </c>
      <c r="I54" s="24">
        <f t="shared" si="2"/>
        <v>1</v>
      </c>
      <c r="J54" s="2">
        <f t="shared" si="3"/>
        <v>8000</v>
      </c>
      <c r="K54" s="25" t="str">
        <f t="shared" si="4"/>
        <v>*</v>
      </c>
    </row>
    <row r="55" spans="1:11" ht="12.75" customHeight="1" x14ac:dyDescent="0.2">
      <c r="A55" s="38"/>
      <c r="B55" s="34"/>
      <c r="C55" s="21"/>
      <c r="D55" s="22"/>
      <c r="E55" s="1"/>
      <c r="F55" s="26"/>
      <c r="G55" s="24">
        <f t="shared" ref="G55:H55" si="57">IF(OR(D55=$M$4,D55=$M$5,D55=$M$6,D55=$M$7,D55=$M$8,D55=$M$9,D55=$M$10,D55=$M$11,D55=$M$12,D55=$M$13,D55=$M$14,D55=$M$15,D55=$M$16,D55=$M$17,D55=$M$18,D55=$M$19),1,0)</f>
        <v>0</v>
      </c>
      <c r="H55" s="24">
        <f t="shared" si="57"/>
        <v>0</v>
      </c>
      <c r="I55" s="24">
        <f t="shared" si="2"/>
        <v>0</v>
      </c>
      <c r="J55" s="2">
        <f t="shared" si="3"/>
        <v>0</v>
      </c>
      <c r="K55" s="25" t="str">
        <f t="shared" si="4"/>
        <v/>
      </c>
    </row>
    <row r="56" spans="1:11" ht="12.75" customHeight="1" x14ac:dyDescent="0.2">
      <c r="A56" s="38"/>
      <c r="B56" s="33" t="s">
        <v>18</v>
      </c>
      <c r="C56" s="21"/>
      <c r="D56" s="22"/>
      <c r="E56" s="1"/>
      <c r="F56" s="26"/>
      <c r="G56" s="24">
        <f t="shared" ref="G56:H56" si="58">IF(OR(D56=$M$4,D56=$M$5,D56=$M$6,D56=$M$7,D56=$M$8,D56=$M$9,D56=$M$10,D56=$M$11,D56=$M$12,D56=$M$13,D56=$M$14,D56=$M$15,D56=$M$16,D56=$M$17,D56=$M$18,D56=$M$19),1,0)</f>
        <v>0</v>
      </c>
      <c r="H56" s="24">
        <f t="shared" si="58"/>
        <v>0</v>
      </c>
      <c r="I56" s="24">
        <f t="shared" si="2"/>
        <v>0</v>
      </c>
      <c r="J56" s="2">
        <f t="shared" si="3"/>
        <v>0</v>
      </c>
      <c r="K56" s="25" t="str">
        <f t="shared" si="4"/>
        <v/>
      </c>
    </row>
    <row r="57" spans="1:11" ht="12.75" customHeight="1" x14ac:dyDescent="0.2">
      <c r="A57" s="34"/>
      <c r="B57" s="34"/>
      <c r="C57" s="21"/>
      <c r="D57" s="22"/>
      <c r="E57" s="1"/>
      <c r="F57" s="26"/>
      <c r="G57" s="24">
        <f t="shared" ref="G57:H57" si="59">IF(OR(D57=$M$4,D57=$M$5,D57=$M$6,D57=$M$7,D57=$M$8,D57=$M$9,D57=$M$10,D57=$M$11,D57=$M$12,D57=$M$13,D57=$M$14,D57=$M$15,D57=$M$16,D57=$M$17,D57=$M$18,D57=$M$19),1,0)</f>
        <v>0</v>
      </c>
      <c r="H57" s="24">
        <f t="shared" si="59"/>
        <v>0</v>
      </c>
      <c r="I57" s="24">
        <f t="shared" si="2"/>
        <v>0</v>
      </c>
      <c r="J57" s="2">
        <f t="shared" si="3"/>
        <v>0</v>
      </c>
      <c r="K57" s="25" t="str">
        <f t="shared" si="4"/>
        <v/>
      </c>
    </row>
    <row r="58" spans="1:11" ht="12.75" customHeight="1" x14ac:dyDescent="0.2">
      <c r="A58" s="37">
        <f>A52+1</f>
        <v>45726</v>
      </c>
      <c r="B58" s="33" t="s">
        <v>10</v>
      </c>
      <c r="C58" s="21"/>
      <c r="D58" s="22" t="s">
        <v>11</v>
      </c>
      <c r="E58" s="1"/>
      <c r="F58" s="26">
        <v>4000</v>
      </c>
      <c r="G58" s="24">
        <f t="shared" ref="G58:H58" si="60">IF(OR(D58=$M$4,D58=$M$5,D58=$M$6,D58=$M$7,D58=$M$8,D58=$M$9,D58=$M$10,D58=$M$11,D58=$M$12,D58=$M$13,D58=$M$14,D58=$M$15,D58=$M$16,D58=$M$17,D58=$M$18,D58=$M$19),1,0)</f>
        <v>1</v>
      </c>
      <c r="H58" s="24">
        <f t="shared" si="60"/>
        <v>0</v>
      </c>
      <c r="I58" s="24">
        <f t="shared" si="2"/>
        <v>1</v>
      </c>
      <c r="J58" s="2">
        <f t="shared" si="3"/>
        <v>4000</v>
      </c>
      <c r="K58" s="25" t="str">
        <f t="shared" si="4"/>
        <v>*</v>
      </c>
    </row>
    <row r="59" spans="1:11" ht="12.75" customHeight="1" x14ac:dyDescent="0.2">
      <c r="A59" s="38"/>
      <c r="B59" s="34"/>
      <c r="C59" s="21"/>
      <c r="D59" s="22" t="s">
        <v>22</v>
      </c>
      <c r="E59" s="1"/>
      <c r="F59" s="26">
        <v>4000</v>
      </c>
      <c r="G59" s="24">
        <f t="shared" ref="G59:H59" si="61">IF(OR(D59=$M$4,D59=$M$5,D59=$M$6,D59=$M$7,D59=$M$8,D59=$M$9,D59=$M$10,D59=$M$11,D59=$M$12,D59=$M$13,D59=$M$14,D59=$M$15,D59=$M$16,D59=$M$17,D59=$M$18,D59=$M$19),1,0)</f>
        <v>1</v>
      </c>
      <c r="H59" s="24">
        <f t="shared" si="61"/>
        <v>0</v>
      </c>
      <c r="I59" s="24">
        <f t="shared" si="2"/>
        <v>1</v>
      </c>
      <c r="J59" s="2">
        <f t="shared" si="3"/>
        <v>4000</v>
      </c>
      <c r="K59" s="25" t="str">
        <f t="shared" si="4"/>
        <v>*</v>
      </c>
    </row>
    <row r="60" spans="1:11" ht="12.75" customHeight="1" x14ac:dyDescent="0.2">
      <c r="A60" s="38"/>
      <c r="B60" s="33" t="s">
        <v>15</v>
      </c>
      <c r="C60" s="21"/>
      <c r="D60" s="22"/>
      <c r="E60" s="1"/>
      <c r="F60" s="26"/>
      <c r="G60" s="24">
        <f t="shared" ref="G60:H60" si="62">IF(OR(D60=$M$4,D60=$M$5,D60=$M$6,D60=$M$7,D60=$M$8,D60=$M$9,D60=$M$10,D60=$M$11,D60=$M$12,D60=$M$13,D60=$M$14,D60=$M$15,D60=$M$16,D60=$M$17,D60=$M$18,D60=$M$19),1,0)</f>
        <v>0</v>
      </c>
      <c r="H60" s="24">
        <f t="shared" si="62"/>
        <v>0</v>
      </c>
      <c r="I60" s="24">
        <f t="shared" si="2"/>
        <v>0</v>
      </c>
      <c r="J60" s="2">
        <f t="shared" si="3"/>
        <v>0</v>
      </c>
      <c r="K60" s="25" t="str">
        <f t="shared" si="4"/>
        <v/>
      </c>
    </row>
    <row r="61" spans="1:11" ht="12.75" customHeight="1" x14ac:dyDescent="0.2">
      <c r="A61" s="38"/>
      <c r="B61" s="34"/>
      <c r="C61" s="21"/>
      <c r="D61" s="22" t="s">
        <v>14</v>
      </c>
      <c r="E61" s="1"/>
      <c r="F61" s="26">
        <v>14000</v>
      </c>
      <c r="G61" s="24">
        <f t="shared" ref="G61:H61" si="63">IF(OR(D61=$M$4,D61=$M$5,D61=$M$6,D61=$M$7,D61=$M$8,D61=$M$9,D61=$M$10,D61=$M$11,D61=$M$12,D61=$M$13,D61=$M$14,D61=$M$15,D61=$M$16,D61=$M$17,D61=$M$18,D61=$M$19),1,0)</f>
        <v>1</v>
      </c>
      <c r="H61" s="24">
        <f t="shared" si="63"/>
        <v>0</v>
      </c>
      <c r="I61" s="24">
        <f t="shared" si="2"/>
        <v>1</v>
      </c>
      <c r="J61" s="2">
        <f t="shared" si="3"/>
        <v>14000</v>
      </c>
      <c r="K61" s="25" t="str">
        <f t="shared" si="4"/>
        <v>*</v>
      </c>
    </row>
    <row r="62" spans="1:11" ht="12.75" customHeight="1" x14ac:dyDescent="0.2">
      <c r="A62" s="38"/>
      <c r="B62" s="33" t="s">
        <v>18</v>
      </c>
      <c r="C62" s="21"/>
      <c r="D62" s="22" t="s">
        <v>19</v>
      </c>
      <c r="E62" s="1"/>
      <c r="F62" s="26">
        <v>4000</v>
      </c>
      <c r="G62" s="24">
        <f t="shared" ref="G62:H62" si="64">IF(OR(D62=$M$4,D62=$M$5,D62=$M$6,D62=$M$7,D62=$M$8,D62=$M$9,D62=$M$10,D62=$M$11,D62=$M$12,D62=$M$13,D62=$M$14,D62=$M$15,D62=$M$16,D62=$M$17,D62=$M$18,D62=$M$19),1,0)</f>
        <v>1</v>
      </c>
      <c r="H62" s="24">
        <f t="shared" si="64"/>
        <v>0</v>
      </c>
      <c r="I62" s="24">
        <f t="shared" si="2"/>
        <v>1</v>
      </c>
      <c r="J62" s="2">
        <f t="shared" si="3"/>
        <v>4000</v>
      </c>
      <c r="K62" s="25" t="str">
        <f t="shared" si="4"/>
        <v>*</v>
      </c>
    </row>
    <row r="63" spans="1:11" ht="12.75" customHeight="1" x14ac:dyDescent="0.2">
      <c r="A63" s="34"/>
      <c r="B63" s="34"/>
      <c r="C63" s="21"/>
      <c r="D63" s="22" t="s">
        <v>16</v>
      </c>
      <c r="E63" s="1"/>
      <c r="F63" s="26">
        <v>4000</v>
      </c>
      <c r="G63" s="24">
        <f t="shared" ref="G63:H63" si="65">IF(OR(D63=$M$4,D63=$M$5,D63=$M$6,D63=$M$7,D63=$M$8,D63=$M$9,D63=$M$10,D63=$M$11,D63=$M$12,D63=$M$13,D63=$M$14,D63=$M$15,D63=$M$16,D63=$M$17,D63=$M$18,D63=$M$19),1,0)</f>
        <v>1</v>
      </c>
      <c r="H63" s="24">
        <f t="shared" si="65"/>
        <v>0</v>
      </c>
      <c r="I63" s="24">
        <f t="shared" si="2"/>
        <v>1</v>
      </c>
      <c r="J63" s="2">
        <f t="shared" si="3"/>
        <v>4000</v>
      </c>
      <c r="K63" s="25" t="str">
        <f t="shared" si="4"/>
        <v>*</v>
      </c>
    </row>
    <row r="64" spans="1:11" ht="12.75" customHeight="1" x14ac:dyDescent="0.2">
      <c r="A64" s="37">
        <f>A58+1</f>
        <v>45727</v>
      </c>
      <c r="B64" s="33" t="s">
        <v>10</v>
      </c>
      <c r="C64" s="21"/>
      <c r="D64" s="22"/>
      <c r="E64" s="1"/>
      <c r="F64" s="26"/>
      <c r="G64" s="24">
        <f t="shared" ref="G64:H64" si="66">IF(OR(D64=$M$4,D64=$M$5,D64=$M$6,D64=$M$7,D64=$M$8,D64=$M$9,D64=$M$10,D64=$M$11,D64=$M$12,D64=$M$13,D64=$M$14,D64=$M$15,D64=$M$16,D64=$M$17,D64=$M$18,D64=$M$19),1,0)</f>
        <v>0</v>
      </c>
      <c r="H64" s="24">
        <f t="shared" si="66"/>
        <v>0</v>
      </c>
      <c r="I64" s="24">
        <f t="shared" si="2"/>
        <v>0</v>
      </c>
      <c r="J64" s="2">
        <f t="shared" si="3"/>
        <v>0</v>
      </c>
      <c r="K64" s="25" t="str">
        <f t="shared" si="4"/>
        <v/>
      </c>
    </row>
    <row r="65" spans="1:11" ht="12.75" customHeight="1" x14ac:dyDescent="0.2">
      <c r="A65" s="38"/>
      <c r="B65" s="34"/>
      <c r="C65" s="21"/>
      <c r="D65" s="22" t="s">
        <v>21</v>
      </c>
      <c r="E65" s="1"/>
      <c r="F65" s="26">
        <v>5000</v>
      </c>
      <c r="G65" s="24">
        <f t="shared" ref="G65:H65" si="67">IF(OR(D65=$M$4,D65=$M$5,D65=$M$6,D65=$M$7,D65=$M$8,D65=$M$9,D65=$M$10,D65=$M$11,D65=$M$12,D65=$M$13,D65=$M$14,D65=$M$15,D65=$M$16,D65=$M$17,D65=$M$18,D65=$M$19),1,0)</f>
        <v>1</v>
      </c>
      <c r="H65" s="24">
        <f t="shared" si="67"/>
        <v>0</v>
      </c>
      <c r="I65" s="24">
        <f t="shared" si="2"/>
        <v>1</v>
      </c>
      <c r="J65" s="2">
        <f t="shared" si="3"/>
        <v>5000</v>
      </c>
      <c r="K65" s="25" t="str">
        <f t="shared" si="4"/>
        <v>*</v>
      </c>
    </row>
    <row r="66" spans="1:11" ht="12.75" customHeight="1" x14ac:dyDescent="0.2">
      <c r="A66" s="38"/>
      <c r="B66" s="33" t="s">
        <v>15</v>
      </c>
      <c r="C66" s="21"/>
      <c r="D66" s="22" t="s">
        <v>14</v>
      </c>
      <c r="E66" s="1"/>
      <c r="F66" s="26">
        <v>4000</v>
      </c>
      <c r="G66" s="24">
        <f t="shared" ref="G66:H66" si="68">IF(OR(D66=$M$4,D66=$M$5,D66=$M$6,D66=$M$7,D66=$M$8,D66=$M$9,D66=$M$10,D66=$M$11,D66=$M$12,D66=$M$13,D66=$M$14,D66=$M$15,D66=$M$16,D66=$M$17,D66=$M$18,D66=$M$19),1,0)</f>
        <v>1</v>
      </c>
      <c r="H66" s="24">
        <f t="shared" si="68"/>
        <v>0</v>
      </c>
      <c r="I66" s="24">
        <f t="shared" si="2"/>
        <v>1</v>
      </c>
      <c r="J66" s="2">
        <f t="shared" si="3"/>
        <v>4000</v>
      </c>
      <c r="K66" s="25" t="str">
        <f t="shared" si="4"/>
        <v>*</v>
      </c>
    </row>
    <row r="67" spans="1:11" ht="12.75" customHeight="1" x14ac:dyDescent="0.2">
      <c r="A67" s="38"/>
      <c r="B67" s="34"/>
      <c r="C67" s="21"/>
      <c r="D67" s="22"/>
      <c r="E67" s="1"/>
      <c r="F67" s="26"/>
      <c r="G67" s="24">
        <f t="shared" ref="G67:H67" si="69">IF(OR(D67=$M$4,D67=$M$5,D67=$M$6,D67=$M$7,D67=$M$8,D67=$M$9,D67=$M$10,D67=$M$11,D67=$M$12,D67=$M$13,D67=$M$14,D67=$M$15,D67=$M$16,D67=$M$17,D67=$M$18,D67=$M$19),1,0)</f>
        <v>0</v>
      </c>
      <c r="H67" s="24">
        <f t="shared" si="69"/>
        <v>0</v>
      </c>
      <c r="I67" s="24">
        <f t="shared" si="2"/>
        <v>0</v>
      </c>
      <c r="J67" s="2">
        <f t="shared" si="3"/>
        <v>0</v>
      </c>
      <c r="K67" s="25" t="str">
        <f t="shared" si="4"/>
        <v/>
      </c>
    </row>
    <row r="68" spans="1:11" ht="12.75" customHeight="1" x14ac:dyDescent="0.2">
      <c r="A68" s="38"/>
      <c r="B68" s="33" t="s">
        <v>18</v>
      </c>
      <c r="C68" s="21"/>
      <c r="D68" s="22" t="s">
        <v>16</v>
      </c>
      <c r="E68" s="1"/>
      <c r="F68" s="26">
        <v>4000</v>
      </c>
      <c r="G68" s="24">
        <f t="shared" ref="G68:H68" si="70">IF(OR(D68=$M$4,D68=$M$5,D68=$M$6,D68=$M$7,D68=$M$8,D68=$M$9,D68=$M$10,D68=$M$11,D68=$M$12,D68=$M$13,D68=$M$14,D68=$M$15,D68=$M$16,D68=$M$17,D68=$M$18,D68=$M$19),1,0)</f>
        <v>1</v>
      </c>
      <c r="H68" s="24">
        <f t="shared" si="70"/>
        <v>0</v>
      </c>
      <c r="I68" s="24">
        <f t="shared" si="2"/>
        <v>1</v>
      </c>
      <c r="J68" s="2">
        <f t="shared" si="3"/>
        <v>4000</v>
      </c>
      <c r="K68" s="25" t="str">
        <f t="shared" si="4"/>
        <v>*</v>
      </c>
    </row>
    <row r="69" spans="1:11" ht="12.75" customHeight="1" x14ac:dyDescent="0.2">
      <c r="A69" s="34"/>
      <c r="B69" s="34"/>
      <c r="C69" s="21"/>
      <c r="D69" s="22"/>
      <c r="E69" s="1"/>
      <c r="F69" s="26"/>
      <c r="G69" s="24">
        <f t="shared" ref="G69:H69" si="71">IF(OR(D69=$M$4,D69=$M$5,D69=$M$6,D69=$M$7,D69=$M$8,D69=$M$9,D69=$M$10,D69=$M$11,D69=$M$12,D69=$M$13,D69=$M$14,D69=$M$15,D69=$M$16,D69=$M$17,D69=$M$18,D69=$M$19),1,0)</f>
        <v>0</v>
      </c>
      <c r="H69" s="24">
        <f t="shared" si="71"/>
        <v>0</v>
      </c>
      <c r="I69" s="24">
        <f t="shared" si="2"/>
        <v>0</v>
      </c>
      <c r="J69" s="2">
        <f t="shared" si="3"/>
        <v>0</v>
      </c>
      <c r="K69" s="25" t="str">
        <f t="shared" si="4"/>
        <v/>
      </c>
    </row>
    <row r="70" spans="1:11" ht="12.75" customHeight="1" x14ac:dyDescent="0.2">
      <c r="A70" s="37">
        <f>A64+1</f>
        <v>45728</v>
      </c>
      <c r="B70" s="33" t="s">
        <v>10</v>
      </c>
      <c r="C70" s="21"/>
      <c r="D70" s="22" t="s">
        <v>13</v>
      </c>
      <c r="E70" s="1"/>
      <c r="F70" s="26">
        <v>4000</v>
      </c>
      <c r="G70" s="24">
        <f t="shared" ref="G70:H70" si="72">IF(OR(D70=$M$4,D70=$M$5,D70=$M$6,D70=$M$7,D70=$M$8,D70=$M$9,D70=$M$10,D70=$M$11,D70=$M$12,D70=$M$13,D70=$M$14,D70=$M$15,D70=$M$16,D70=$M$17,D70=$M$18,D70=$M$19),1,0)</f>
        <v>1</v>
      </c>
      <c r="H70" s="24">
        <f t="shared" si="72"/>
        <v>0</v>
      </c>
      <c r="I70" s="24">
        <f t="shared" si="2"/>
        <v>1</v>
      </c>
      <c r="J70" s="2">
        <f t="shared" si="3"/>
        <v>4000</v>
      </c>
      <c r="K70" s="25" t="str">
        <f t="shared" si="4"/>
        <v>*</v>
      </c>
    </row>
    <row r="71" spans="1:11" ht="12.75" customHeight="1" x14ac:dyDescent="0.2">
      <c r="A71" s="38"/>
      <c r="B71" s="34"/>
      <c r="C71" s="21"/>
      <c r="D71" s="22" t="s">
        <v>22</v>
      </c>
      <c r="E71" s="1"/>
      <c r="F71" s="26">
        <v>4000</v>
      </c>
      <c r="G71" s="24">
        <f t="shared" ref="G71:H71" si="73">IF(OR(D71=$M$4,D71=$M$5,D71=$M$6,D71=$M$7,D71=$M$8,D71=$M$9,D71=$M$10,D71=$M$11,D71=$M$12,D71=$M$13,D71=$M$14,D71=$M$15,D71=$M$16,D71=$M$17,D71=$M$18,D71=$M$19),1,0)</f>
        <v>1</v>
      </c>
      <c r="H71" s="24">
        <f t="shared" si="73"/>
        <v>0</v>
      </c>
      <c r="I71" s="24">
        <f t="shared" si="2"/>
        <v>1</v>
      </c>
      <c r="J71" s="2">
        <f t="shared" si="3"/>
        <v>4000</v>
      </c>
      <c r="K71" s="25" t="str">
        <f t="shared" si="4"/>
        <v>*</v>
      </c>
    </row>
    <row r="72" spans="1:11" ht="12.75" customHeight="1" x14ac:dyDescent="0.2">
      <c r="A72" s="38"/>
      <c r="B72" s="33" t="s">
        <v>15</v>
      </c>
      <c r="C72" s="21"/>
      <c r="D72" s="22"/>
      <c r="E72" s="1"/>
      <c r="F72" s="26"/>
      <c r="G72" s="24">
        <f t="shared" ref="G72:H72" si="74">IF(OR(D72=$M$4,D72=$M$5,D72=$M$6,D72=$M$7,D72=$M$8,D72=$M$9,D72=$M$10,D72=$M$11,D72=$M$12,D72=$M$13,D72=$M$14,D72=$M$15,D72=$M$16,D72=$M$17,D72=$M$18,D72=$M$19),1,0)</f>
        <v>0</v>
      </c>
      <c r="H72" s="24">
        <f t="shared" si="74"/>
        <v>0</v>
      </c>
      <c r="I72" s="24">
        <f t="shared" si="2"/>
        <v>0</v>
      </c>
      <c r="J72" s="2">
        <f t="shared" si="3"/>
        <v>0</v>
      </c>
      <c r="K72" s="25" t="str">
        <f t="shared" si="4"/>
        <v/>
      </c>
    </row>
    <row r="73" spans="1:11" ht="12.75" customHeight="1" x14ac:dyDescent="0.2">
      <c r="A73" s="38"/>
      <c r="B73" s="34"/>
      <c r="C73" s="21"/>
      <c r="D73" s="22" t="s">
        <v>20</v>
      </c>
      <c r="E73" s="1"/>
      <c r="F73" s="26">
        <v>8000</v>
      </c>
      <c r="G73" s="24">
        <f t="shared" ref="G73:H73" si="75">IF(OR(D73=$M$4,D73=$M$5,D73=$M$6,D73=$M$7,D73=$M$8,D73=$M$9,D73=$M$10,D73=$M$11,D73=$M$12,D73=$M$13,D73=$M$14,D73=$M$15,D73=$M$16,D73=$M$17,D73=$M$18,D73=$M$19),1,0)</f>
        <v>1</v>
      </c>
      <c r="H73" s="24">
        <f t="shared" si="75"/>
        <v>0</v>
      </c>
      <c r="I73" s="24">
        <f t="shared" si="2"/>
        <v>1</v>
      </c>
      <c r="J73" s="2">
        <f t="shared" si="3"/>
        <v>8000</v>
      </c>
      <c r="K73" s="25" t="str">
        <f t="shared" si="4"/>
        <v>*</v>
      </c>
    </row>
    <row r="74" spans="1:11" ht="12.75" customHeight="1" x14ac:dyDescent="0.2">
      <c r="A74" s="38"/>
      <c r="B74" s="33" t="s">
        <v>18</v>
      </c>
      <c r="C74" s="21"/>
      <c r="D74" s="22"/>
      <c r="E74" s="1"/>
      <c r="F74" s="26"/>
      <c r="G74" s="24">
        <f t="shared" ref="G74:H74" si="76">IF(OR(D74=$M$4,D74=$M$5,D74=$M$6,D74=$M$7,D74=$M$8,D74=$M$9,D74=$M$10,D74=$M$11,D74=$M$12,D74=$M$13,D74=$M$14,D74=$M$15,D74=$M$16,D74=$M$17,D74=$M$18,D74=$M$19),1,0)</f>
        <v>0</v>
      </c>
      <c r="H74" s="24">
        <f t="shared" si="76"/>
        <v>0</v>
      </c>
      <c r="I74" s="24">
        <f t="shared" si="2"/>
        <v>0</v>
      </c>
      <c r="J74" s="2">
        <f t="shared" si="3"/>
        <v>0</v>
      </c>
      <c r="K74" s="25" t="str">
        <f t="shared" si="4"/>
        <v/>
      </c>
    </row>
    <row r="75" spans="1:11" ht="12.75" customHeight="1" x14ac:dyDescent="0.2">
      <c r="A75" s="34"/>
      <c r="B75" s="34"/>
      <c r="C75" s="21"/>
      <c r="D75" s="22" t="s">
        <v>11</v>
      </c>
      <c r="E75" s="1"/>
      <c r="F75" s="26">
        <v>8000</v>
      </c>
      <c r="G75" s="24">
        <f t="shared" ref="G75:H75" si="77">IF(OR(D75=$M$4,D75=$M$5,D75=$M$6,D75=$M$7,D75=$M$8,D75=$M$9,D75=$M$10,D75=$M$11,D75=$M$12,D75=$M$13,D75=$M$14,D75=$M$15,D75=$M$16,D75=$M$17,D75=$M$18,D75=$M$19),1,0)</f>
        <v>1</v>
      </c>
      <c r="H75" s="24">
        <f t="shared" si="77"/>
        <v>0</v>
      </c>
      <c r="I75" s="24">
        <f t="shared" si="2"/>
        <v>1</v>
      </c>
      <c r="J75" s="2">
        <f t="shared" si="3"/>
        <v>8000</v>
      </c>
      <c r="K75" s="25" t="str">
        <f t="shared" si="4"/>
        <v>*</v>
      </c>
    </row>
    <row r="76" spans="1:11" ht="12.75" customHeight="1" x14ac:dyDescent="0.2">
      <c r="A76" s="37">
        <f>A70+1</f>
        <v>45729</v>
      </c>
      <c r="B76" s="33" t="s">
        <v>10</v>
      </c>
      <c r="C76" s="21"/>
      <c r="D76" s="22" t="s">
        <v>13</v>
      </c>
      <c r="E76" s="1"/>
      <c r="F76" s="26">
        <v>8000</v>
      </c>
      <c r="G76" s="24">
        <f t="shared" ref="G76:H76" si="78">IF(OR(D76=$M$4,D76=$M$5,D76=$M$6,D76=$M$7,D76=$M$8,D76=$M$9,D76=$M$10,D76=$M$11,D76=$M$12,D76=$M$13,D76=$M$14,D76=$M$15,D76=$M$16,D76=$M$17,D76=$M$18,D76=$M$19),1,0)</f>
        <v>1</v>
      </c>
      <c r="H76" s="24">
        <f t="shared" si="78"/>
        <v>0</v>
      </c>
      <c r="I76" s="24">
        <f t="shared" si="2"/>
        <v>1</v>
      </c>
      <c r="J76" s="2">
        <f t="shared" si="3"/>
        <v>8000</v>
      </c>
      <c r="K76" s="25" t="str">
        <f t="shared" si="4"/>
        <v>*</v>
      </c>
    </row>
    <row r="77" spans="1:11" ht="12.75" customHeight="1" x14ac:dyDescent="0.2">
      <c r="A77" s="38"/>
      <c r="B77" s="34"/>
      <c r="C77" s="21"/>
      <c r="D77" s="22" t="s">
        <v>21</v>
      </c>
      <c r="E77" s="1"/>
      <c r="F77" s="26">
        <v>8000</v>
      </c>
      <c r="G77" s="24">
        <f t="shared" ref="G77:H77" si="79">IF(OR(D77=$M$4,D77=$M$5,D77=$M$6,D77=$M$7,D77=$M$8,D77=$M$9,D77=$M$10,D77=$M$11,D77=$M$12,D77=$M$13,D77=$M$14,D77=$M$15,D77=$M$16,D77=$M$17,D77=$M$18,D77=$M$19),1,0)</f>
        <v>1</v>
      </c>
      <c r="H77" s="24">
        <f t="shared" si="79"/>
        <v>0</v>
      </c>
      <c r="I77" s="24">
        <f t="shared" si="2"/>
        <v>1</v>
      </c>
      <c r="J77" s="2">
        <f t="shared" si="3"/>
        <v>8000</v>
      </c>
      <c r="K77" s="25" t="str">
        <f t="shared" si="4"/>
        <v>*</v>
      </c>
    </row>
    <row r="78" spans="1:11" ht="12.75" customHeight="1" x14ac:dyDescent="0.2">
      <c r="A78" s="38"/>
      <c r="B78" s="33" t="s">
        <v>15</v>
      </c>
      <c r="C78" s="21"/>
      <c r="D78" s="22"/>
      <c r="E78" s="1"/>
      <c r="F78" s="26"/>
      <c r="G78" s="24">
        <f t="shared" ref="G78:H78" si="80">IF(OR(D78=$M$4,D78=$M$5,D78=$M$6,D78=$M$7,D78=$M$8,D78=$M$9,D78=$M$10,D78=$M$11,D78=$M$12,D78=$M$13,D78=$M$14,D78=$M$15,D78=$M$16,D78=$M$17,D78=$M$18,D78=$M$19),1,0)</f>
        <v>0</v>
      </c>
      <c r="H78" s="24">
        <f t="shared" si="80"/>
        <v>0</v>
      </c>
      <c r="I78" s="24">
        <f t="shared" si="2"/>
        <v>0</v>
      </c>
      <c r="J78" s="2">
        <f t="shared" si="3"/>
        <v>0</v>
      </c>
      <c r="K78" s="25" t="str">
        <f t="shared" si="4"/>
        <v/>
      </c>
    </row>
    <row r="79" spans="1:11" ht="12.75" customHeight="1" x14ac:dyDescent="0.2">
      <c r="A79" s="38"/>
      <c r="B79" s="34"/>
      <c r="C79" s="21"/>
      <c r="D79" s="22" t="s">
        <v>14</v>
      </c>
      <c r="E79" s="1"/>
      <c r="F79" s="26">
        <v>12000</v>
      </c>
      <c r="G79" s="24">
        <f t="shared" ref="G79:H79" si="81">IF(OR(D79=$M$4,D79=$M$5,D79=$M$6,D79=$M$7,D79=$M$8,D79=$M$9,D79=$M$10,D79=$M$11,D79=$M$12,D79=$M$13,D79=$M$14,D79=$M$15,D79=$M$16,D79=$M$17,D79=$M$18,D79=$M$19),1,0)</f>
        <v>1</v>
      </c>
      <c r="H79" s="24">
        <f t="shared" si="81"/>
        <v>0</v>
      </c>
      <c r="I79" s="24">
        <f t="shared" si="2"/>
        <v>1</v>
      </c>
      <c r="J79" s="2">
        <f t="shared" si="3"/>
        <v>12000</v>
      </c>
      <c r="K79" s="25" t="str">
        <f t="shared" si="4"/>
        <v>*</v>
      </c>
    </row>
    <row r="80" spans="1:11" ht="12.75" customHeight="1" x14ac:dyDescent="0.2">
      <c r="A80" s="38"/>
      <c r="B80" s="33" t="s">
        <v>18</v>
      </c>
      <c r="C80" s="21"/>
      <c r="D80" s="22"/>
      <c r="E80" s="1"/>
      <c r="F80" s="26"/>
      <c r="G80" s="24">
        <f t="shared" ref="G80:H80" si="82">IF(OR(D80=$M$4,D80=$M$5,D80=$M$6,D80=$M$7,D80=$M$8,D80=$M$9,D80=$M$10,D80=$M$11,D80=$M$12,D80=$M$13,D80=$M$14,D80=$M$15,D80=$M$16,D80=$M$17,D80=$M$18,D80=$M$19),1,0)</f>
        <v>0</v>
      </c>
      <c r="H80" s="24">
        <f t="shared" si="82"/>
        <v>0</v>
      </c>
      <c r="I80" s="24">
        <f t="shared" si="2"/>
        <v>0</v>
      </c>
      <c r="J80" s="2">
        <f t="shared" si="3"/>
        <v>0</v>
      </c>
      <c r="K80" s="25" t="str">
        <f t="shared" si="4"/>
        <v/>
      </c>
    </row>
    <row r="81" spans="1:11" ht="12.75" customHeight="1" x14ac:dyDescent="0.2">
      <c r="A81" s="34"/>
      <c r="B81" s="34"/>
      <c r="C81" s="21"/>
      <c r="D81" s="22" t="s">
        <v>11</v>
      </c>
      <c r="E81" s="1"/>
      <c r="F81" s="26">
        <v>4000</v>
      </c>
      <c r="G81" s="24">
        <f t="shared" ref="G81:H81" si="83">IF(OR(D81=$M$4,D81=$M$5,D81=$M$6,D81=$M$7,D81=$M$8,D81=$M$9,D81=$M$10,D81=$M$11,D81=$M$12,D81=$M$13,D81=$M$14,D81=$M$15,D81=$M$16,D81=$M$17,D81=$M$18,D81=$M$19),1,0)</f>
        <v>1</v>
      </c>
      <c r="H81" s="24">
        <f t="shared" si="83"/>
        <v>0</v>
      </c>
      <c r="I81" s="24">
        <f t="shared" si="2"/>
        <v>1</v>
      </c>
      <c r="J81" s="2">
        <f t="shared" si="3"/>
        <v>4000</v>
      </c>
      <c r="K81" s="25" t="str">
        <f t="shared" si="4"/>
        <v>*</v>
      </c>
    </row>
    <row r="82" spans="1:11" ht="12.75" customHeight="1" x14ac:dyDescent="0.2">
      <c r="A82" s="37">
        <f>A76+1</f>
        <v>45730</v>
      </c>
      <c r="B82" s="33" t="s">
        <v>10</v>
      </c>
      <c r="C82" s="21"/>
      <c r="D82" s="22" t="s">
        <v>13</v>
      </c>
      <c r="E82" s="1"/>
      <c r="F82" s="26">
        <v>4000</v>
      </c>
      <c r="G82" s="24">
        <f t="shared" ref="G82:H82" si="84">IF(OR(D82=$M$4,D82=$M$5,D82=$M$6,D82=$M$7,D82=$M$8,D82=$M$9,D82=$M$10,D82=$M$11,D82=$M$12,D82=$M$13,D82=$M$14,D82=$M$15,D82=$M$16,D82=$M$17,D82=$M$18,D82=$M$19),1,0)</f>
        <v>1</v>
      </c>
      <c r="H82" s="24">
        <f t="shared" si="84"/>
        <v>0</v>
      </c>
      <c r="I82" s="24">
        <f t="shared" si="2"/>
        <v>1</v>
      </c>
      <c r="J82" s="2">
        <f t="shared" si="3"/>
        <v>4000</v>
      </c>
      <c r="K82" s="25" t="str">
        <f t="shared" si="4"/>
        <v>*</v>
      </c>
    </row>
    <row r="83" spans="1:11" ht="12.75" customHeight="1" x14ac:dyDescent="0.2">
      <c r="A83" s="38"/>
      <c r="B83" s="34"/>
      <c r="C83" s="21"/>
      <c r="D83" s="22"/>
      <c r="E83" s="1"/>
      <c r="F83" s="26"/>
      <c r="G83" s="24">
        <f t="shared" ref="G83:H83" si="85">IF(OR(D83=$M$4,D83=$M$5,D83=$M$6,D83=$M$7,D83=$M$8,D83=$M$9,D83=$M$10,D83=$M$11,D83=$M$12,D83=$M$13,D83=$M$14,D83=$M$15,D83=$M$16,D83=$M$17,D83=$M$18,D83=$M$19),1,0)</f>
        <v>0</v>
      </c>
      <c r="H83" s="24">
        <f t="shared" si="85"/>
        <v>0</v>
      </c>
      <c r="I83" s="24">
        <f t="shared" si="2"/>
        <v>0</v>
      </c>
      <c r="J83" s="2">
        <f t="shared" si="3"/>
        <v>0</v>
      </c>
      <c r="K83" s="25" t="str">
        <f t="shared" si="4"/>
        <v/>
      </c>
    </row>
    <row r="84" spans="1:11" ht="12.75" customHeight="1" x14ac:dyDescent="0.2">
      <c r="A84" s="38"/>
      <c r="B84" s="33" t="s">
        <v>15</v>
      </c>
      <c r="C84" s="21"/>
      <c r="D84" s="22"/>
      <c r="E84" s="1"/>
      <c r="F84" s="26"/>
      <c r="G84" s="24">
        <f t="shared" ref="G84:H84" si="86">IF(OR(D84=$M$4,D84=$M$5,D84=$M$6,D84=$M$7,D84=$M$8,D84=$M$9,D84=$M$10,D84=$M$11,D84=$M$12,D84=$M$13,D84=$M$14,D84=$M$15,D84=$M$16,D84=$M$17,D84=$M$18,D84=$M$19),1,0)</f>
        <v>0</v>
      </c>
      <c r="H84" s="24">
        <f t="shared" si="86"/>
        <v>0</v>
      </c>
      <c r="I84" s="24">
        <f t="shared" si="2"/>
        <v>0</v>
      </c>
      <c r="J84" s="2">
        <f t="shared" si="3"/>
        <v>0</v>
      </c>
      <c r="K84" s="25" t="str">
        <f t="shared" si="4"/>
        <v/>
      </c>
    </row>
    <row r="85" spans="1:11" ht="12.75" customHeight="1" x14ac:dyDescent="0.2">
      <c r="A85" s="38"/>
      <c r="B85" s="34"/>
      <c r="C85" s="21"/>
      <c r="D85" s="22" t="s">
        <v>14</v>
      </c>
      <c r="E85" s="1"/>
      <c r="F85" s="26">
        <v>12000</v>
      </c>
      <c r="G85" s="24">
        <f t="shared" ref="G85:H85" si="87">IF(OR(D85=$M$4,D85=$M$5,D85=$M$6,D85=$M$7,D85=$M$8,D85=$M$9,D85=$M$10,D85=$M$11,D85=$M$12,D85=$M$13,D85=$M$14,D85=$M$15,D85=$M$16,D85=$M$17,D85=$M$18,D85=$M$19),1,0)</f>
        <v>1</v>
      </c>
      <c r="H85" s="24">
        <f t="shared" si="87"/>
        <v>0</v>
      </c>
      <c r="I85" s="24">
        <f t="shared" si="2"/>
        <v>1</v>
      </c>
      <c r="J85" s="2">
        <f t="shared" si="3"/>
        <v>12000</v>
      </c>
      <c r="K85" s="25" t="str">
        <f t="shared" si="4"/>
        <v>*</v>
      </c>
    </row>
    <row r="86" spans="1:11" ht="12.75" customHeight="1" x14ac:dyDescent="0.2">
      <c r="A86" s="38"/>
      <c r="B86" s="33" t="s">
        <v>18</v>
      </c>
      <c r="C86" s="21"/>
      <c r="D86" s="22"/>
      <c r="E86" s="1"/>
      <c r="F86" s="26"/>
      <c r="G86" s="24">
        <f t="shared" ref="G86:H86" si="88">IF(OR(D86=$M$4,D86=$M$5,D86=$M$6,D86=$M$7,D86=$M$8,D86=$M$9,D86=$M$10,D86=$M$11,D86=$M$12,D86=$M$13,D86=$M$14,D86=$M$15,D86=$M$16,D86=$M$17,D86=$M$18,D86=$M$19),1,0)</f>
        <v>0</v>
      </c>
      <c r="H86" s="24">
        <f t="shared" si="88"/>
        <v>0</v>
      </c>
      <c r="I86" s="24">
        <f t="shared" si="2"/>
        <v>0</v>
      </c>
      <c r="J86" s="2">
        <f t="shared" si="3"/>
        <v>0</v>
      </c>
      <c r="K86" s="25" t="str">
        <f t="shared" si="4"/>
        <v/>
      </c>
    </row>
    <row r="87" spans="1:11" ht="12.75" customHeight="1" x14ac:dyDescent="0.2">
      <c r="A87" s="34"/>
      <c r="B87" s="34"/>
      <c r="C87" s="21"/>
      <c r="D87" s="1"/>
      <c r="E87" s="1"/>
      <c r="F87" s="28"/>
      <c r="G87" s="24">
        <f t="shared" ref="G87:H87" si="89">IF(OR(D87=$M$4,D87=$M$5,D87=$M$6,D87=$M$7,D87=$M$8,D87=$M$9,D87=$M$10,D87=$M$11,D87=$M$12,D87=$M$13,D87=$M$14,D87=$M$15,D87=$M$16,D87=$M$17,D87=$M$18,D87=$M$19),1,0)</f>
        <v>0</v>
      </c>
      <c r="H87" s="24">
        <f t="shared" si="89"/>
        <v>0</v>
      </c>
      <c r="I87" s="24">
        <f t="shared" si="2"/>
        <v>0</v>
      </c>
      <c r="J87" s="2">
        <f t="shared" si="3"/>
        <v>0</v>
      </c>
      <c r="K87" s="25" t="str">
        <f t="shared" si="4"/>
        <v/>
      </c>
    </row>
    <row r="88" spans="1:11" ht="12.75" customHeight="1" x14ac:dyDescent="0.2">
      <c r="A88" s="37">
        <f>A82+1</f>
        <v>45731</v>
      </c>
      <c r="B88" s="33" t="s">
        <v>10</v>
      </c>
      <c r="C88" s="21"/>
      <c r="D88" s="22" t="s">
        <v>13</v>
      </c>
      <c r="E88" s="1"/>
      <c r="F88" s="26">
        <v>4000</v>
      </c>
      <c r="G88" s="24">
        <f t="shared" ref="G88:H88" si="90">IF(OR(D88=$M$4,D88=$M$5,D88=$M$6,D88=$M$7,D88=$M$8,D88=$M$9,D88=$M$10,D88=$M$11,D88=$M$12,D88=$M$13,D88=$M$14,D88=$M$15,D88=$M$16,D88=$M$17,D88=$M$18,D88=$M$19),1,0)</f>
        <v>1</v>
      </c>
      <c r="H88" s="24">
        <f t="shared" si="90"/>
        <v>0</v>
      </c>
      <c r="I88" s="24">
        <f t="shared" si="2"/>
        <v>1</v>
      </c>
      <c r="J88" s="2">
        <f t="shared" si="3"/>
        <v>4000</v>
      </c>
      <c r="K88" s="25" t="str">
        <f t="shared" si="4"/>
        <v>*</v>
      </c>
    </row>
    <row r="89" spans="1:11" ht="12.75" customHeight="1" x14ac:dyDescent="0.2">
      <c r="A89" s="38"/>
      <c r="B89" s="34"/>
      <c r="C89" s="21"/>
      <c r="D89" s="22" t="s">
        <v>21</v>
      </c>
      <c r="E89" s="1"/>
      <c r="F89" s="26">
        <v>4000</v>
      </c>
      <c r="G89" s="24">
        <f t="shared" ref="G89:H89" si="91">IF(OR(D89=$M$4,D89=$M$5,D89=$M$6,D89=$M$7,D89=$M$8,D89=$M$9,D89=$M$10,D89=$M$11,D89=$M$12,D89=$M$13,D89=$M$14,D89=$M$15,D89=$M$16,D89=$M$17,D89=$M$18,D89=$M$19),1,0)</f>
        <v>1</v>
      </c>
      <c r="H89" s="24">
        <f t="shared" si="91"/>
        <v>0</v>
      </c>
      <c r="I89" s="24">
        <f t="shared" si="2"/>
        <v>1</v>
      </c>
      <c r="J89" s="2">
        <f t="shared" si="3"/>
        <v>4000</v>
      </c>
      <c r="K89" s="25" t="str">
        <f t="shared" si="4"/>
        <v>*</v>
      </c>
    </row>
    <row r="90" spans="1:11" ht="12.75" customHeight="1" x14ac:dyDescent="0.2">
      <c r="A90" s="38"/>
      <c r="B90" s="33" t="s">
        <v>15</v>
      </c>
      <c r="C90" s="21"/>
      <c r="D90" s="22"/>
      <c r="E90" s="1"/>
      <c r="F90" s="26"/>
      <c r="G90" s="24">
        <f t="shared" ref="G90:H90" si="92">IF(OR(D90=$M$4,D90=$M$5,D90=$M$6,D90=$M$7,D90=$M$8,D90=$M$9,D90=$M$10,D90=$M$11,D90=$M$12,D90=$M$13,D90=$M$14,D90=$M$15,D90=$M$16,D90=$M$17,D90=$M$18,D90=$M$19),1,0)</f>
        <v>0</v>
      </c>
      <c r="H90" s="24">
        <f t="shared" si="92"/>
        <v>0</v>
      </c>
      <c r="I90" s="24">
        <f t="shared" si="2"/>
        <v>0</v>
      </c>
      <c r="J90" s="2">
        <f t="shared" si="3"/>
        <v>0</v>
      </c>
      <c r="K90" s="25" t="str">
        <f t="shared" si="4"/>
        <v/>
      </c>
    </row>
    <row r="91" spans="1:11" ht="12.75" customHeight="1" x14ac:dyDescent="0.2">
      <c r="A91" s="38"/>
      <c r="B91" s="34"/>
      <c r="C91" s="21"/>
      <c r="D91" s="22" t="s">
        <v>14</v>
      </c>
      <c r="E91" s="1"/>
      <c r="F91" s="26">
        <v>32000</v>
      </c>
      <c r="G91" s="24">
        <f t="shared" ref="G91:H91" si="93">IF(OR(D91=$M$4,D91=$M$5,D91=$M$6,D91=$M$7,D91=$M$8,D91=$M$9,D91=$M$10,D91=$M$11,D91=$M$12,D91=$M$13,D91=$M$14,D91=$M$15,D91=$M$16,D91=$M$17,D91=$M$18,D91=$M$19),1,0)</f>
        <v>1</v>
      </c>
      <c r="H91" s="24">
        <f t="shared" si="93"/>
        <v>0</v>
      </c>
      <c r="I91" s="24">
        <f t="shared" si="2"/>
        <v>1</v>
      </c>
      <c r="J91" s="2">
        <f t="shared" si="3"/>
        <v>32000</v>
      </c>
      <c r="K91" s="25" t="str">
        <f t="shared" si="4"/>
        <v>*</v>
      </c>
    </row>
    <row r="92" spans="1:11" ht="12.75" customHeight="1" x14ac:dyDescent="0.2">
      <c r="A92" s="38"/>
      <c r="B92" s="33" t="s">
        <v>18</v>
      </c>
      <c r="C92" s="21"/>
      <c r="D92" s="22" t="s">
        <v>11</v>
      </c>
      <c r="E92" s="1"/>
      <c r="F92" s="26">
        <v>13000</v>
      </c>
      <c r="G92" s="24">
        <f t="shared" ref="G92:H92" si="94">IF(OR(D92=$M$4,D92=$M$5,D92=$M$6,D92=$M$7,D92=$M$8,D92=$M$9,D92=$M$10,D92=$M$11,D92=$M$12,D92=$M$13,D92=$M$14,D92=$M$15,D92=$M$16,D92=$M$17,D92=$M$18,D92=$M$19),1,0)</f>
        <v>1</v>
      </c>
      <c r="H92" s="24">
        <f t="shared" si="94"/>
        <v>0</v>
      </c>
      <c r="I92" s="24">
        <f t="shared" si="2"/>
        <v>1</v>
      </c>
      <c r="J92" s="2">
        <f t="shared" si="3"/>
        <v>13000</v>
      </c>
      <c r="K92" s="25" t="str">
        <f t="shared" si="4"/>
        <v>*</v>
      </c>
    </row>
    <row r="93" spans="1:11" ht="12.75" customHeight="1" x14ac:dyDescent="0.2">
      <c r="A93" s="34"/>
      <c r="B93" s="34"/>
      <c r="C93" s="21"/>
      <c r="D93" s="22" t="s">
        <v>16</v>
      </c>
      <c r="E93" s="1"/>
      <c r="F93" s="26">
        <v>12000</v>
      </c>
      <c r="G93" s="24">
        <f t="shared" ref="G93:H93" si="95">IF(OR(D93=$M$4,D93=$M$5,D93=$M$6,D93=$M$7,D93=$M$8,D93=$M$9,D93=$M$10,D93=$M$11,D93=$M$12,D93=$M$13,D93=$M$14,D93=$M$15,D93=$M$16,D93=$M$17,D93=$M$18,D93=$M$19),1,0)</f>
        <v>1</v>
      </c>
      <c r="H93" s="24">
        <f t="shared" si="95"/>
        <v>0</v>
      </c>
      <c r="I93" s="24">
        <f t="shared" si="2"/>
        <v>1</v>
      </c>
      <c r="J93" s="2">
        <f t="shared" si="3"/>
        <v>12000</v>
      </c>
      <c r="K93" s="25" t="str">
        <f t="shared" si="4"/>
        <v>*</v>
      </c>
    </row>
    <row r="94" spans="1:11" ht="12.75" customHeight="1" x14ac:dyDescent="0.2">
      <c r="A94" s="37">
        <f>A88+1</f>
        <v>45732</v>
      </c>
      <c r="B94" s="33" t="s">
        <v>10</v>
      </c>
      <c r="C94" s="21"/>
      <c r="D94" s="22" t="s">
        <v>19</v>
      </c>
      <c r="E94" s="1"/>
      <c r="F94" s="26">
        <v>8000</v>
      </c>
      <c r="G94" s="24">
        <f t="shared" ref="G94:H94" si="96">IF(OR(D94=$M$4,D94=$M$5,D94=$M$6,D94=$M$7,D94=$M$8,D94=$M$9,D94=$M$10,D94=$M$11,D94=$M$12,D94=$M$13,D94=$M$14,D94=$M$15,D94=$M$16,D94=$M$17,D94=$M$18,D94=$M$19),1,0)</f>
        <v>1</v>
      </c>
      <c r="H94" s="24">
        <f t="shared" si="96"/>
        <v>0</v>
      </c>
      <c r="I94" s="24">
        <f t="shared" si="2"/>
        <v>1</v>
      </c>
      <c r="J94" s="2">
        <f t="shared" si="3"/>
        <v>8000</v>
      </c>
      <c r="K94" s="25" t="str">
        <f t="shared" si="4"/>
        <v>*</v>
      </c>
    </row>
    <row r="95" spans="1:11" ht="12.75" customHeight="1" x14ac:dyDescent="0.2">
      <c r="A95" s="38"/>
      <c r="B95" s="34"/>
      <c r="C95" s="21"/>
      <c r="D95" s="22" t="s">
        <v>13</v>
      </c>
      <c r="E95" s="1"/>
      <c r="F95" s="26">
        <v>4000</v>
      </c>
      <c r="G95" s="24">
        <f t="shared" ref="G95:H95" si="97">IF(OR(D95=$M$4,D95=$M$5,D95=$M$6,D95=$M$7,D95=$M$8,D95=$M$9,D95=$M$10,D95=$M$11,D95=$M$12,D95=$M$13,D95=$M$14,D95=$M$15,D95=$M$16,D95=$M$17,D95=$M$18,D95=$M$19),1,0)</f>
        <v>1</v>
      </c>
      <c r="H95" s="24">
        <f t="shared" si="97"/>
        <v>0</v>
      </c>
      <c r="I95" s="24">
        <f t="shared" si="2"/>
        <v>1</v>
      </c>
      <c r="J95" s="2">
        <f t="shared" si="3"/>
        <v>4000</v>
      </c>
      <c r="K95" s="25" t="str">
        <f t="shared" si="4"/>
        <v>*</v>
      </c>
    </row>
    <row r="96" spans="1:11" ht="12.75" customHeight="1" x14ac:dyDescent="0.2">
      <c r="A96" s="38"/>
      <c r="B96" s="33" t="s">
        <v>15</v>
      </c>
      <c r="C96" s="21"/>
      <c r="D96" s="22" t="s">
        <v>14</v>
      </c>
      <c r="E96" s="1"/>
      <c r="F96" s="26">
        <v>12000</v>
      </c>
      <c r="G96" s="24">
        <f t="shared" ref="G96:H96" si="98">IF(OR(D96=$M$4,D96=$M$5,D96=$M$6,D96=$M$7,D96=$M$8,D96=$M$9,D96=$M$10,D96=$M$11,D96=$M$12,D96=$M$13,D96=$M$14,D96=$M$15,D96=$M$16,D96=$M$17,D96=$M$18,D96=$M$19),1,0)</f>
        <v>1</v>
      </c>
      <c r="H96" s="24">
        <f t="shared" si="98"/>
        <v>0</v>
      </c>
      <c r="I96" s="24">
        <f t="shared" si="2"/>
        <v>1</v>
      </c>
      <c r="J96" s="2">
        <f t="shared" si="3"/>
        <v>12000</v>
      </c>
      <c r="K96" s="25" t="str">
        <f t="shared" si="4"/>
        <v>*</v>
      </c>
    </row>
    <row r="97" spans="1:11" ht="12.75" customHeight="1" x14ac:dyDescent="0.2">
      <c r="A97" s="38"/>
      <c r="B97" s="34"/>
      <c r="C97" s="21"/>
      <c r="D97" s="22"/>
      <c r="E97" s="1"/>
      <c r="F97" s="26"/>
      <c r="G97" s="24">
        <f t="shared" ref="G97:H97" si="99">IF(OR(D97=$M$4,D97=$M$5,D97=$M$6,D97=$M$7,D97=$M$8,D97=$M$9,D97=$M$10,D97=$M$11,D97=$M$12,D97=$M$13,D97=$M$14,D97=$M$15,D97=$M$16,D97=$M$17,D97=$M$18,D97=$M$19),1,0)</f>
        <v>0</v>
      </c>
      <c r="H97" s="24">
        <f t="shared" si="99"/>
        <v>0</v>
      </c>
      <c r="I97" s="24">
        <f t="shared" si="2"/>
        <v>0</v>
      </c>
      <c r="J97" s="2">
        <f t="shared" si="3"/>
        <v>0</v>
      </c>
      <c r="K97" s="25" t="str">
        <f t="shared" si="4"/>
        <v/>
      </c>
    </row>
    <row r="98" spans="1:11" ht="12.75" customHeight="1" x14ac:dyDescent="0.2">
      <c r="A98" s="38"/>
      <c r="B98" s="33" t="s">
        <v>18</v>
      </c>
      <c r="C98" s="21"/>
      <c r="D98" s="22" t="s">
        <v>11</v>
      </c>
      <c r="E98" s="1"/>
      <c r="F98" s="26">
        <v>8000</v>
      </c>
      <c r="G98" s="24">
        <f t="shared" ref="G98:H98" si="100">IF(OR(D98=$M$4,D98=$M$5,D98=$M$6,D98=$M$7,D98=$M$8,D98=$M$9,D98=$M$10,D98=$M$11,D98=$M$12,D98=$M$13,D98=$M$14,D98=$M$15,D98=$M$16,D98=$M$17,D98=$M$18,D98=$M$19),1,0)</f>
        <v>1</v>
      </c>
      <c r="H98" s="24">
        <f t="shared" si="100"/>
        <v>0</v>
      </c>
      <c r="I98" s="24">
        <f t="shared" si="2"/>
        <v>1</v>
      </c>
      <c r="J98" s="2">
        <f t="shared" si="3"/>
        <v>8000</v>
      </c>
      <c r="K98" s="25" t="str">
        <f t="shared" si="4"/>
        <v>*</v>
      </c>
    </row>
    <row r="99" spans="1:11" ht="12.75" customHeight="1" x14ac:dyDescent="0.2">
      <c r="A99" s="34"/>
      <c r="B99" s="34"/>
      <c r="C99" s="21"/>
      <c r="D99" s="22"/>
      <c r="E99" s="1"/>
      <c r="F99" s="26"/>
      <c r="G99" s="24">
        <f t="shared" ref="G99:H99" si="101">IF(OR(D99=$M$4,D99=$M$5,D99=$M$6,D99=$M$7,D99=$M$8,D99=$M$9,D99=$M$10,D99=$M$11,D99=$M$12,D99=$M$13,D99=$M$14,D99=$M$15,D99=$M$16,D99=$M$17,D99=$M$18,D99=$M$19),1,0)</f>
        <v>0</v>
      </c>
      <c r="H99" s="24">
        <f t="shared" si="101"/>
        <v>0</v>
      </c>
      <c r="I99" s="24">
        <f t="shared" si="2"/>
        <v>0</v>
      </c>
      <c r="J99" s="2">
        <f t="shared" si="3"/>
        <v>0</v>
      </c>
      <c r="K99" s="25" t="str">
        <f t="shared" si="4"/>
        <v/>
      </c>
    </row>
    <row r="100" spans="1:11" ht="12.75" customHeight="1" x14ac:dyDescent="0.2">
      <c r="A100" s="37">
        <f>A94+1</f>
        <v>45733</v>
      </c>
      <c r="B100" s="33" t="s">
        <v>10</v>
      </c>
      <c r="C100" s="21"/>
      <c r="D100" s="22" t="s">
        <v>13</v>
      </c>
      <c r="E100" s="1"/>
      <c r="F100" s="26">
        <v>8000</v>
      </c>
      <c r="G100" s="24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24">
        <f t="shared" si="102"/>
        <v>0</v>
      </c>
      <c r="I100" s="24">
        <f t="shared" si="2"/>
        <v>1</v>
      </c>
      <c r="J100" s="2">
        <f t="shared" si="3"/>
        <v>8000</v>
      </c>
      <c r="K100" s="25" t="str">
        <f t="shared" si="4"/>
        <v>*</v>
      </c>
    </row>
    <row r="101" spans="1:11" ht="12.75" customHeight="1" x14ac:dyDescent="0.2">
      <c r="A101" s="38"/>
      <c r="B101" s="34"/>
      <c r="C101" s="21"/>
      <c r="D101" s="22"/>
      <c r="E101" s="1"/>
      <c r="F101" s="26"/>
      <c r="G101" s="24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24">
        <f t="shared" si="103"/>
        <v>0</v>
      </c>
      <c r="I101" s="24">
        <f t="shared" si="2"/>
        <v>0</v>
      </c>
      <c r="J101" s="2">
        <f t="shared" si="3"/>
        <v>0</v>
      </c>
      <c r="K101" s="25" t="str">
        <f t="shared" si="4"/>
        <v/>
      </c>
    </row>
    <row r="102" spans="1:11" ht="12.75" customHeight="1" x14ac:dyDescent="0.2">
      <c r="A102" s="38"/>
      <c r="B102" s="33" t="s">
        <v>15</v>
      </c>
      <c r="C102" s="21"/>
      <c r="D102" s="22"/>
      <c r="E102" s="1"/>
      <c r="F102" s="26"/>
      <c r="G102" s="24">
        <f t="shared" ref="G102:H102" si="104">IF(OR(D102=$M$4,D102=$M$5,D102=$M$6,D102=$M$7,D102=$M$8,D102=$M$9,D102=$M$10,D102=$M$11,D102=$M$12,D102=$M$13,D102=$M$14,D102=$M$15,D102=$M$16,D102=$M$17,D102=$M$18,D102=$M$19),1,0)</f>
        <v>0</v>
      </c>
      <c r="H102" s="24">
        <f t="shared" si="104"/>
        <v>0</v>
      </c>
      <c r="I102" s="24">
        <f t="shared" si="2"/>
        <v>0</v>
      </c>
      <c r="J102" s="2">
        <f t="shared" si="3"/>
        <v>0</v>
      </c>
      <c r="K102" s="25" t="str">
        <f t="shared" si="4"/>
        <v/>
      </c>
    </row>
    <row r="103" spans="1:11" ht="12.75" customHeight="1" x14ac:dyDescent="0.2">
      <c r="A103" s="38"/>
      <c r="B103" s="34"/>
      <c r="C103" s="21"/>
      <c r="D103" s="22" t="s">
        <v>14</v>
      </c>
      <c r="E103" s="1"/>
      <c r="F103" s="26">
        <v>17000</v>
      </c>
      <c r="G103" s="24">
        <f t="shared" ref="G103:H103" si="105">IF(OR(D103=$M$4,D103=$M$5,D103=$M$6,D103=$M$7,D103=$M$8,D103=$M$9,D103=$M$10,D103=$M$11,D103=$M$12,D103=$M$13,D103=$M$14,D103=$M$15,D103=$M$16,D103=$M$17,D103=$M$18,D103=$M$19),1,0)</f>
        <v>1</v>
      </c>
      <c r="H103" s="24">
        <f t="shared" si="105"/>
        <v>0</v>
      </c>
      <c r="I103" s="24">
        <f t="shared" si="2"/>
        <v>1</v>
      </c>
      <c r="J103" s="2">
        <f t="shared" si="3"/>
        <v>17000</v>
      </c>
      <c r="K103" s="25" t="str">
        <f t="shared" si="4"/>
        <v>*</v>
      </c>
    </row>
    <row r="104" spans="1:11" ht="12.75" customHeight="1" x14ac:dyDescent="0.2">
      <c r="A104" s="38"/>
      <c r="B104" s="33" t="s">
        <v>18</v>
      </c>
      <c r="C104" s="21"/>
      <c r="D104" s="22"/>
      <c r="E104" s="1"/>
      <c r="F104" s="26"/>
      <c r="G104" s="24">
        <f t="shared" ref="G104:H104" si="106">IF(OR(D104=$M$4,D104=$M$5,D104=$M$6,D104=$M$7,D104=$M$8,D104=$M$9,D104=$M$10,D104=$M$11,D104=$M$12,D104=$M$13,D104=$M$14,D104=$M$15,D104=$M$16,D104=$M$17,D104=$M$18,D104=$M$19),1,0)</f>
        <v>0</v>
      </c>
      <c r="H104" s="24">
        <f t="shared" si="106"/>
        <v>0</v>
      </c>
      <c r="I104" s="24">
        <f t="shared" si="2"/>
        <v>0</v>
      </c>
      <c r="J104" s="2">
        <f t="shared" si="3"/>
        <v>0</v>
      </c>
      <c r="K104" s="25" t="str">
        <f t="shared" si="4"/>
        <v/>
      </c>
    </row>
    <row r="105" spans="1:11" ht="12.75" customHeight="1" x14ac:dyDescent="0.2">
      <c r="A105" s="34"/>
      <c r="B105" s="34"/>
      <c r="C105" s="21"/>
      <c r="D105" s="22"/>
      <c r="E105" s="1"/>
      <c r="F105" s="26"/>
      <c r="G105" s="24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24">
        <f t="shared" si="107"/>
        <v>0</v>
      </c>
      <c r="I105" s="24">
        <f t="shared" si="2"/>
        <v>0</v>
      </c>
      <c r="J105" s="2">
        <f t="shared" si="3"/>
        <v>0</v>
      </c>
      <c r="K105" s="25" t="str">
        <f t="shared" si="4"/>
        <v/>
      </c>
    </row>
    <row r="106" spans="1:11" ht="12.75" customHeight="1" x14ac:dyDescent="0.2">
      <c r="A106" s="37">
        <f>A100+1</f>
        <v>45734</v>
      </c>
      <c r="B106" s="33" t="s">
        <v>10</v>
      </c>
      <c r="C106" s="21"/>
      <c r="D106" s="22" t="s">
        <v>13</v>
      </c>
      <c r="E106" s="1"/>
      <c r="F106" s="26">
        <v>8000</v>
      </c>
      <c r="G106" s="24">
        <f t="shared" ref="G106:H106" si="108">IF(OR(D106=$M$4,D106=$M$5,D106=$M$6,D106=$M$7,D106=$M$8,D106=$M$9,D106=$M$10,D106=$M$11,D106=$M$12,D106=$M$13,D106=$M$14,D106=$M$15,D106=$M$16,D106=$M$17,D106=$M$18,D106=$M$19),1,0)</f>
        <v>1</v>
      </c>
      <c r="H106" s="24">
        <f t="shared" si="108"/>
        <v>0</v>
      </c>
      <c r="I106" s="24">
        <f t="shared" si="2"/>
        <v>1</v>
      </c>
      <c r="J106" s="2">
        <f t="shared" si="3"/>
        <v>8000</v>
      </c>
      <c r="K106" s="25" t="str">
        <f t="shared" si="4"/>
        <v>*</v>
      </c>
    </row>
    <row r="107" spans="1:11" ht="12.75" customHeight="1" x14ac:dyDescent="0.2">
      <c r="A107" s="38"/>
      <c r="B107" s="34"/>
      <c r="C107" s="21"/>
      <c r="D107" s="22"/>
      <c r="E107" s="1"/>
      <c r="F107" s="26"/>
      <c r="G107" s="24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24">
        <f t="shared" si="109"/>
        <v>0</v>
      </c>
      <c r="I107" s="24">
        <f t="shared" si="2"/>
        <v>0</v>
      </c>
      <c r="J107" s="2">
        <f t="shared" si="3"/>
        <v>0</v>
      </c>
      <c r="K107" s="25" t="str">
        <f t="shared" si="4"/>
        <v/>
      </c>
    </row>
    <row r="108" spans="1:11" ht="12.75" customHeight="1" x14ac:dyDescent="0.2">
      <c r="A108" s="38"/>
      <c r="B108" s="33" t="s">
        <v>15</v>
      </c>
      <c r="C108" s="21"/>
      <c r="D108" s="22" t="s">
        <v>17</v>
      </c>
      <c r="E108" s="1"/>
      <c r="F108" s="26">
        <v>10000</v>
      </c>
      <c r="G108" s="24">
        <f t="shared" ref="G108:H108" si="110">IF(OR(D108=$M$4,D108=$M$5,D108=$M$6,D108=$M$7,D108=$M$8,D108=$M$9,D108=$M$10,D108=$M$11,D108=$M$12,D108=$M$13,D108=$M$14,D108=$M$15,D108=$M$16,D108=$M$17,D108=$M$18,D108=$M$19),1,0)</f>
        <v>1</v>
      </c>
      <c r="H108" s="24">
        <f t="shared" si="110"/>
        <v>0</v>
      </c>
      <c r="I108" s="24">
        <f t="shared" si="2"/>
        <v>1</v>
      </c>
      <c r="J108" s="2">
        <f t="shared" si="3"/>
        <v>10000</v>
      </c>
      <c r="K108" s="25" t="str">
        <f t="shared" si="4"/>
        <v>*</v>
      </c>
    </row>
    <row r="109" spans="1:11" ht="12.75" customHeight="1" x14ac:dyDescent="0.2">
      <c r="A109" s="38"/>
      <c r="B109" s="34"/>
      <c r="C109" s="21"/>
      <c r="D109" s="22" t="s">
        <v>14</v>
      </c>
      <c r="E109" s="1"/>
      <c r="F109" s="26">
        <v>13000</v>
      </c>
      <c r="G109" s="24">
        <f t="shared" ref="G109:H109" si="111">IF(OR(D109=$M$4,D109=$M$5,D109=$M$6,D109=$M$7,D109=$M$8,D109=$M$9,D109=$M$10,D109=$M$11,D109=$M$12,D109=$M$13,D109=$M$14,D109=$M$15,D109=$M$16,D109=$M$17,D109=$M$18,D109=$M$19),1,0)</f>
        <v>1</v>
      </c>
      <c r="H109" s="24">
        <f t="shared" si="111"/>
        <v>0</v>
      </c>
      <c r="I109" s="24">
        <f t="shared" si="2"/>
        <v>1</v>
      </c>
      <c r="J109" s="2">
        <f t="shared" si="3"/>
        <v>13000</v>
      </c>
      <c r="K109" s="25" t="str">
        <f t="shared" si="4"/>
        <v>*</v>
      </c>
    </row>
    <row r="110" spans="1:11" ht="12.75" customHeight="1" x14ac:dyDescent="0.2">
      <c r="A110" s="38"/>
      <c r="B110" s="33" t="s">
        <v>18</v>
      </c>
      <c r="C110" s="21"/>
      <c r="D110" s="22" t="s">
        <v>24</v>
      </c>
      <c r="E110" s="1"/>
      <c r="F110" s="26">
        <v>4000</v>
      </c>
      <c r="G110" s="24">
        <f t="shared" ref="G110:H110" si="112">IF(OR(D110=$M$4,D110=$M$5,D110=$M$6,D110=$M$7,D110=$M$8,D110=$M$9,D110=$M$10,D110=$M$11,D110=$M$12,D110=$M$13,D110=$M$14,D110=$M$15,D110=$M$16,D110=$M$17,D110=$M$18,D110=$M$19),1,0)</f>
        <v>1</v>
      </c>
      <c r="H110" s="24">
        <f t="shared" si="112"/>
        <v>0</v>
      </c>
      <c r="I110" s="24">
        <f t="shared" si="2"/>
        <v>1</v>
      </c>
      <c r="J110" s="2">
        <f t="shared" si="3"/>
        <v>4000</v>
      </c>
      <c r="K110" s="25" t="str">
        <f t="shared" si="4"/>
        <v>*</v>
      </c>
    </row>
    <row r="111" spans="1:11" ht="12.75" customHeight="1" x14ac:dyDescent="0.2">
      <c r="A111" s="34"/>
      <c r="B111" s="34"/>
      <c r="C111" s="21"/>
      <c r="D111" s="22"/>
      <c r="E111" s="1"/>
      <c r="F111" s="26"/>
      <c r="G111" s="24">
        <f t="shared" ref="G111:H111" si="113">IF(OR(D111=$M$4,D111=$M$5,D111=$M$6,D111=$M$7,D111=$M$8,D111=$M$9,D111=$M$10,D111=$M$11,D111=$M$12,D111=$M$13,D111=$M$14,D111=$M$15,D111=$M$16,D111=$M$17,D111=$M$18,D111=$M$19),1,0)</f>
        <v>0</v>
      </c>
      <c r="H111" s="24">
        <f t="shared" si="113"/>
        <v>0</v>
      </c>
      <c r="I111" s="24">
        <f t="shared" si="2"/>
        <v>0</v>
      </c>
      <c r="J111" s="2">
        <f t="shared" si="3"/>
        <v>0</v>
      </c>
      <c r="K111" s="25" t="str">
        <f t="shared" si="4"/>
        <v/>
      </c>
    </row>
    <row r="112" spans="1:11" ht="12.75" customHeight="1" x14ac:dyDescent="0.2">
      <c r="A112" s="37">
        <f>A106+1</f>
        <v>45735</v>
      </c>
      <c r="B112" s="33" t="s">
        <v>10</v>
      </c>
      <c r="C112" s="21"/>
      <c r="D112" s="22" t="s">
        <v>13</v>
      </c>
      <c r="E112" s="1"/>
      <c r="F112" s="26">
        <v>4000</v>
      </c>
      <c r="G112" s="24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24">
        <f t="shared" si="114"/>
        <v>0</v>
      </c>
      <c r="I112" s="24">
        <f t="shared" si="2"/>
        <v>1</v>
      </c>
      <c r="J112" s="2">
        <f t="shared" si="3"/>
        <v>4000</v>
      </c>
      <c r="K112" s="25" t="str">
        <f t="shared" si="4"/>
        <v>*</v>
      </c>
    </row>
    <row r="113" spans="1:11" ht="12.75" customHeight="1" x14ac:dyDescent="0.2">
      <c r="A113" s="38"/>
      <c r="B113" s="34"/>
      <c r="C113" s="21"/>
      <c r="D113" s="22" t="s">
        <v>21</v>
      </c>
      <c r="E113" s="1"/>
      <c r="F113" s="26">
        <v>8000</v>
      </c>
      <c r="G113" s="24">
        <f t="shared" ref="G113:H113" si="115">IF(OR(D113=$M$4,D113=$M$5,D113=$M$6,D113=$M$7,D113=$M$8,D113=$M$9,D113=$M$10,D113=$M$11,D113=$M$12,D113=$M$13,D113=$M$14,D113=$M$15,D113=$M$16,D113=$M$17,D113=$M$18,D113=$M$19),1,0)</f>
        <v>1</v>
      </c>
      <c r="H113" s="24">
        <f t="shared" si="115"/>
        <v>0</v>
      </c>
      <c r="I113" s="24">
        <f t="shared" si="2"/>
        <v>1</v>
      </c>
      <c r="J113" s="2">
        <f t="shared" si="3"/>
        <v>8000</v>
      </c>
      <c r="K113" s="25" t="str">
        <f t="shared" si="4"/>
        <v>*</v>
      </c>
    </row>
    <row r="114" spans="1:11" ht="12.75" customHeight="1" x14ac:dyDescent="0.2">
      <c r="A114" s="38"/>
      <c r="B114" s="33" t="s">
        <v>15</v>
      </c>
      <c r="C114" s="21"/>
      <c r="D114" s="22" t="s">
        <v>14</v>
      </c>
      <c r="E114" s="1"/>
      <c r="F114" s="26">
        <v>9000</v>
      </c>
      <c r="G114" s="24">
        <f t="shared" ref="G114:H114" si="116">IF(OR(D114=$M$4,D114=$M$5,D114=$M$6,D114=$M$7,D114=$M$8,D114=$M$9,D114=$M$10,D114=$M$11,D114=$M$12,D114=$M$13,D114=$M$14,D114=$M$15,D114=$M$16,D114=$M$17,D114=$M$18,D114=$M$19),1,0)</f>
        <v>1</v>
      </c>
      <c r="H114" s="24">
        <f t="shared" si="116"/>
        <v>0</v>
      </c>
      <c r="I114" s="24">
        <f t="shared" si="2"/>
        <v>1</v>
      </c>
      <c r="J114" s="2">
        <f t="shared" si="3"/>
        <v>9000</v>
      </c>
      <c r="K114" s="25" t="str">
        <f t="shared" si="4"/>
        <v>*</v>
      </c>
    </row>
    <row r="115" spans="1:11" ht="12.75" customHeight="1" x14ac:dyDescent="0.2">
      <c r="A115" s="38"/>
      <c r="B115" s="34"/>
      <c r="C115" s="21"/>
      <c r="D115" s="22"/>
      <c r="E115" s="1"/>
      <c r="F115" s="26"/>
      <c r="G115" s="24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24">
        <f t="shared" si="117"/>
        <v>0</v>
      </c>
      <c r="I115" s="24">
        <f t="shared" si="2"/>
        <v>0</v>
      </c>
      <c r="J115" s="2">
        <f t="shared" si="3"/>
        <v>0</v>
      </c>
      <c r="K115" s="25" t="str">
        <f t="shared" si="4"/>
        <v/>
      </c>
    </row>
    <row r="116" spans="1:11" ht="12.75" customHeight="1" x14ac:dyDescent="0.2">
      <c r="A116" s="38"/>
      <c r="B116" s="33" t="s">
        <v>18</v>
      </c>
      <c r="C116" s="21"/>
      <c r="D116" s="22" t="s">
        <v>11</v>
      </c>
      <c r="E116" s="1"/>
      <c r="F116" s="26">
        <v>12000</v>
      </c>
      <c r="G116" s="24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24">
        <f t="shared" si="118"/>
        <v>0</v>
      </c>
      <c r="I116" s="24">
        <f t="shared" si="2"/>
        <v>1</v>
      </c>
      <c r="J116" s="2">
        <f t="shared" si="3"/>
        <v>12000</v>
      </c>
      <c r="K116" s="25" t="str">
        <f t="shared" si="4"/>
        <v>*</v>
      </c>
    </row>
    <row r="117" spans="1:11" ht="12.75" customHeight="1" x14ac:dyDescent="0.2">
      <c r="A117" s="34"/>
      <c r="B117" s="34"/>
      <c r="C117" s="21"/>
      <c r="D117" s="22" t="s">
        <v>16</v>
      </c>
      <c r="E117" s="1"/>
      <c r="F117" s="26">
        <v>4000</v>
      </c>
      <c r="G117" s="24">
        <f t="shared" ref="G117:H117" si="119">IF(OR(D117=$M$4,D117=$M$5,D117=$M$6,D117=$M$7,D117=$M$8,D117=$M$9,D117=$M$10,D117=$M$11,D117=$M$12,D117=$M$13,D117=$M$14,D117=$M$15,D117=$M$16,D117=$M$17,D117=$M$18,D117=$M$19),1,0)</f>
        <v>1</v>
      </c>
      <c r="H117" s="24">
        <f t="shared" si="119"/>
        <v>0</v>
      </c>
      <c r="I117" s="24">
        <f t="shared" si="2"/>
        <v>1</v>
      </c>
      <c r="J117" s="2">
        <f t="shared" si="3"/>
        <v>4000</v>
      </c>
      <c r="K117" s="25" t="str">
        <f t="shared" si="4"/>
        <v>*</v>
      </c>
    </row>
    <row r="118" spans="1:11" ht="12.75" customHeight="1" x14ac:dyDescent="0.2">
      <c r="A118" s="37">
        <f>A112+1</f>
        <v>45736</v>
      </c>
      <c r="B118" s="33" t="s">
        <v>10</v>
      </c>
      <c r="C118" s="21"/>
      <c r="D118" s="22" t="s">
        <v>22</v>
      </c>
      <c r="E118" s="1"/>
      <c r="F118" s="26">
        <v>4000</v>
      </c>
      <c r="G118" s="24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24">
        <f t="shared" si="120"/>
        <v>0</v>
      </c>
      <c r="I118" s="24">
        <f t="shared" si="2"/>
        <v>1</v>
      </c>
      <c r="J118" s="2">
        <f t="shared" si="3"/>
        <v>4000</v>
      </c>
      <c r="K118" s="25" t="str">
        <f t="shared" si="4"/>
        <v>*</v>
      </c>
    </row>
    <row r="119" spans="1:11" ht="12.75" customHeight="1" x14ac:dyDescent="0.2">
      <c r="A119" s="38"/>
      <c r="B119" s="34"/>
      <c r="C119" s="21"/>
      <c r="D119" s="22"/>
      <c r="E119" s="1"/>
      <c r="F119" s="26"/>
      <c r="G119" s="24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24">
        <f t="shared" si="121"/>
        <v>0</v>
      </c>
      <c r="I119" s="24">
        <f t="shared" si="2"/>
        <v>0</v>
      </c>
      <c r="J119" s="2">
        <f t="shared" si="3"/>
        <v>0</v>
      </c>
      <c r="K119" s="25" t="str">
        <f t="shared" si="4"/>
        <v/>
      </c>
    </row>
    <row r="120" spans="1:11" ht="12.75" customHeight="1" x14ac:dyDescent="0.2">
      <c r="A120" s="38"/>
      <c r="B120" s="33" t="s">
        <v>15</v>
      </c>
      <c r="C120" s="21"/>
      <c r="D120" s="22" t="s">
        <v>19</v>
      </c>
      <c r="E120" s="1"/>
      <c r="F120" s="26">
        <v>4000</v>
      </c>
      <c r="G120" s="24">
        <f t="shared" ref="G120:H120" si="122">IF(OR(D120=$M$4,D120=$M$5,D120=$M$6,D120=$M$7,D120=$M$8,D120=$M$9,D120=$M$10,D120=$M$11,D120=$M$12,D120=$M$13,D120=$M$14,D120=$M$15,D120=$M$16,D120=$M$17,D120=$M$18,D120=$M$19),1,0)</f>
        <v>1</v>
      </c>
      <c r="H120" s="24">
        <f t="shared" si="122"/>
        <v>0</v>
      </c>
      <c r="I120" s="24">
        <f t="shared" si="2"/>
        <v>1</v>
      </c>
      <c r="J120" s="2">
        <f t="shared" si="3"/>
        <v>4000</v>
      </c>
      <c r="K120" s="25" t="str">
        <f t="shared" si="4"/>
        <v>*</v>
      </c>
    </row>
    <row r="121" spans="1:11" ht="12.75" customHeight="1" x14ac:dyDescent="0.2">
      <c r="A121" s="38"/>
      <c r="B121" s="34"/>
      <c r="C121" s="21"/>
      <c r="D121" s="22" t="s">
        <v>17</v>
      </c>
      <c r="E121" s="1"/>
      <c r="F121" s="26">
        <v>12000</v>
      </c>
      <c r="G121" s="24">
        <f t="shared" ref="G121:H121" si="123">IF(OR(D121=$M$4,D121=$M$5,D121=$M$6,D121=$M$7,D121=$M$8,D121=$M$9,D121=$M$10,D121=$M$11,D121=$M$12,D121=$M$13,D121=$M$14,D121=$M$15,D121=$M$16,D121=$M$17,D121=$M$18,D121=$M$19),1,0)</f>
        <v>1</v>
      </c>
      <c r="H121" s="24">
        <f t="shared" si="123"/>
        <v>0</v>
      </c>
      <c r="I121" s="24">
        <f t="shared" si="2"/>
        <v>1</v>
      </c>
      <c r="J121" s="2">
        <f t="shared" si="3"/>
        <v>12000</v>
      </c>
      <c r="K121" s="25" t="str">
        <f t="shared" si="4"/>
        <v>*</v>
      </c>
    </row>
    <row r="122" spans="1:11" ht="12.75" customHeight="1" x14ac:dyDescent="0.2">
      <c r="A122" s="38"/>
      <c r="B122" s="33" t="s">
        <v>18</v>
      </c>
      <c r="C122" s="21"/>
      <c r="D122" s="22" t="s">
        <v>14</v>
      </c>
      <c r="E122" s="1"/>
      <c r="F122" s="26">
        <v>10000</v>
      </c>
      <c r="G122" s="24">
        <f t="shared" ref="G122:H122" si="124">IF(OR(D122=$M$4,D122=$M$5,D122=$M$6,D122=$M$7,D122=$M$8,D122=$M$9,D122=$M$10,D122=$M$11,D122=$M$12,D122=$M$13,D122=$M$14,D122=$M$15,D122=$M$16,D122=$M$17,D122=$M$18,D122=$M$19),1,0)</f>
        <v>1</v>
      </c>
      <c r="H122" s="24">
        <f t="shared" si="124"/>
        <v>0</v>
      </c>
      <c r="I122" s="24">
        <f t="shared" si="2"/>
        <v>1</v>
      </c>
      <c r="J122" s="2">
        <f t="shared" si="3"/>
        <v>10000</v>
      </c>
      <c r="K122" s="25" t="str">
        <f t="shared" si="4"/>
        <v>*</v>
      </c>
    </row>
    <row r="123" spans="1:11" ht="12.75" customHeight="1" x14ac:dyDescent="0.2">
      <c r="A123" s="34"/>
      <c r="B123" s="34"/>
      <c r="C123" s="21"/>
      <c r="D123" s="22" t="s">
        <v>11</v>
      </c>
      <c r="E123" s="1"/>
      <c r="F123" s="26">
        <v>4000</v>
      </c>
      <c r="G123" s="24">
        <f t="shared" ref="G123:H123" si="125">IF(OR(D123=$M$4,D123=$M$5,D123=$M$6,D123=$M$7,D123=$M$8,D123=$M$9,D123=$M$10,D123=$M$11,D123=$M$12,D123=$M$13,D123=$M$14,D123=$M$15,D123=$M$16,D123=$M$17,D123=$M$18,D123=$M$19),1,0)</f>
        <v>1</v>
      </c>
      <c r="H123" s="24">
        <f t="shared" si="125"/>
        <v>0</v>
      </c>
      <c r="I123" s="24">
        <f t="shared" si="2"/>
        <v>1</v>
      </c>
      <c r="J123" s="2">
        <f t="shared" si="3"/>
        <v>4000</v>
      </c>
      <c r="K123" s="25" t="str">
        <f t="shared" si="4"/>
        <v>*</v>
      </c>
    </row>
    <row r="124" spans="1:11" ht="12.75" customHeight="1" x14ac:dyDescent="0.2">
      <c r="A124" s="37">
        <f>A118+1</f>
        <v>45737</v>
      </c>
      <c r="B124" s="33" t="s">
        <v>10</v>
      </c>
      <c r="C124" s="21"/>
      <c r="D124" s="22"/>
      <c r="E124" s="1"/>
      <c r="F124" s="26"/>
      <c r="G124" s="24">
        <f t="shared" ref="G124:H124" si="126">IF(OR(D124=$M$4,D124=$M$5,D124=$M$6,D124=$M$7,D124=$M$8,D124=$M$9,D124=$M$10,D124=$M$11,D124=$M$12,D124=$M$13,D124=$M$14,D124=$M$15,D124=$M$16,D124=$M$17,D124=$M$18,D124=$M$19),1,0)</f>
        <v>0</v>
      </c>
      <c r="H124" s="24">
        <f t="shared" si="126"/>
        <v>0</v>
      </c>
      <c r="I124" s="24">
        <f t="shared" si="2"/>
        <v>0</v>
      </c>
      <c r="J124" s="2">
        <f t="shared" si="3"/>
        <v>0</v>
      </c>
      <c r="K124" s="25" t="str">
        <f t="shared" si="4"/>
        <v/>
      </c>
    </row>
    <row r="125" spans="1:11" ht="12.75" customHeight="1" x14ac:dyDescent="0.2">
      <c r="A125" s="38"/>
      <c r="B125" s="34"/>
      <c r="C125" s="21"/>
      <c r="D125" s="22" t="s">
        <v>24</v>
      </c>
      <c r="E125" s="1"/>
      <c r="F125" s="26">
        <v>12000</v>
      </c>
      <c r="G125" s="24">
        <f t="shared" ref="G125:H125" si="127">IF(OR(D125=$M$4,D125=$M$5,D125=$M$6,D125=$M$7,D125=$M$8,D125=$M$9,D125=$M$10,D125=$M$11,D125=$M$12,D125=$M$13,D125=$M$14,D125=$M$15,D125=$M$16,D125=$M$17,D125=$M$18,D125=$M$19),1,0)</f>
        <v>1</v>
      </c>
      <c r="H125" s="24">
        <f t="shared" si="127"/>
        <v>0</v>
      </c>
      <c r="I125" s="24">
        <f t="shared" si="2"/>
        <v>1</v>
      </c>
      <c r="J125" s="2">
        <f t="shared" si="3"/>
        <v>12000</v>
      </c>
      <c r="K125" s="25" t="str">
        <f t="shared" si="4"/>
        <v>*</v>
      </c>
    </row>
    <row r="126" spans="1:11" ht="12.75" customHeight="1" x14ac:dyDescent="0.2">
      <c r="A126" s="38"/>
      <c r="B126" s="33" t="s">
        <v>15</v>
      </c>
      <c r="C126" s="21"/>
      <c r="D126" s="22"/>
      <c r="E126" s="1"/>
      <c r="F126" s="26"/>
      <c r="G126" s="24">
        <f t="shared" ref="G126:H126" si="128">IF(OR(D126=$M$4,D126=$M$5,D126=$M$6,D126=$M$7,D126=$M$8,D126=$M$9,D126=$M$10,D126=$M$11,D126=$M$12,D126=$M$13,D126=$M$14,D126=$M$15,D126=$M$16,D126=$M$17,D126=$M$18,D126=$M$19),1,0)</f>
        <v>0</v>
      </c>
      <c r="H126" s="24">
        <f t="shared" si="128"/>
        <v>0</v>
      </c>
      <c r="I126" s="24">
        <f t="shared" si="2"/>
        <v>0</v>
      </c>
      <c r="J126" s="2">
        <f t="shared" si="3"/>
        <v>0</v>
      </c>
      <c r="K126" s="25" t="str">
        <f t="shared" si="4"/>
        <v/>
      </c>
    </row>
    <row r="127" spans="1:11" ht="12.75" customHeight="1" x14ac:dyDescent="0.2">
      <c r="A127" s="38"/>
      <c r="B127" s="34"/>
      <c r="C127" s="21"/>
      <c r="D127" s="22"/>
      <c r="E127" s="1"/>
      <c r="F127" s="26"/>
      <c r="G127" s="24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24">
        <f t="shared" si="129"/>
        <v>0</v>
      </c>
      <c r="I127" s="24">
        <f t="shared" si="2"/>
        <v>0</v>
      </c>
      <c r="J127" s="2">
        <f t="shared" si="3"/>
        <v>0</v>
      </c>
      <c r="K127" s="25" t="str">
        <f t="shared" si="4"/>
        <v/>
      </c>
    </row>
    <row r="128" spans="1:11" ht="12.75" customHeight="1" x14ac:dyDescent="0.2">
      <c r="A128" s="38"/>
      <c r="B128" s="33" t="s">
        <v>18</v>
      </c>
      <c r="C128" s="21"/>
      <c r="D128" s="22" t="s">
        <v>16</v>
      </c>
      <c r="E128" s="1"/>
      <c r="F128" s="26">
        <v>8000</v>
      </c>
      <c r="G128" s="24">
        <f t="shared" ref="G128:H128" si="130">IF(OR(D128=$M$4,D128=$M$5,D128=$M$6,D128=$M$7,D128=$M$8,D128=$M$9,D128=$M$10,D128=$M$11,D128=$M$12,D128=$M$13,D128=$M$14,D128=$M$15,D128=$M$16,D128=$M$17,D128=$M$18,D128=$M$19),1,0)</f>
        <v>1</v>
      </c>
      <c r="H128" s="24">
        <f t="shared" si="130"/>
        <v>0</v>
      </c>
      <c r="I128" s="24">
        <f t="shared" si="2"/>
        <v>1</v>
      </c>
      <c r="J128" s="2">
        <f t="shared" si="3"/>
        <v>8000</v>
      </c>
      <c r="K128" s="25" t="str">
        <f t="shared" si="4"/>
        <v>*</v>
      </c>
    </row>
    <row r="129" spans="1:11" ht="12.75" customHeight="1" x14ac:dyDescent="0.2">
      <c r="A129" s="34"/>
      <c r="B129" s="34"/>
      <c r="C129" s="21"/>
      <c r="D129" s="22" t="s">
        <v>21</v>
      </c>
      <c r="E129" s="1"/>
      <c r="F129" s="26">
        <v>4000</v>
      </c>
      <c r="G129" s="24">
        <f t="shared" ref="G129:H129" si="131">IF(OR(D129=$M$4,D129=$M$5,D129=$M$6,D129=$M$7,D129=$M$8,D129=$M$9,D129=$M$10,D129=$M$11,D129=$M$12,D129=$M$13,D129=$M$14,D129=$M$15,D129=$M$16,D129=$M$17,D129=$M$18,D129=$M$19),1,0)</f>
        <v>1</v>
      </c>
      <c r="H129" s="24">
        <f t="shared" si="131"/>
        <v>0</v>
      </c>
      <c r="I129" s="24">
        <f t="shared" si="2"/>
        <v>1</v>
      </c>
      <c r="J129" s="2">
        <f t="shared" si="3"/>
        <v>4000</v>
      </c>
      <c r="K129" s="25" t="str">
        <f t="shared" si="4"/>
        <v>*</v>
      </c>
    </row>
    <row r="130" spans="1:11" ht="12.75" customHeight="1" x14ac:dyDescent="0.2">
      <c r="A130" s="37">
        <f>A124+1</f>
        <v>45738</v>
      </c>
      <c r="B130" s="33" t="s">
        <v>10</v>
      </c>
      <c r="C130" s="21"/>
      <c r="D130" s="22" t="s">
        <v>24</v>
      </c>
      <c r="E130" s="1"/>
      <c r="F130" s="26">
        <v>4000</v>
      </c>
      <c r="G130" s="24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24">
        <f t="shared" si="132"/>
        <v>0</v>
      </c>
      <c r="I130" s="24">
        <f t="shared" si="2"/>
        <v>1</v>
      </c>
      <c r="J130" s="2">
        <f t="shared" si="3"/>
        <v>4000</v>
      </c>
      <c r="K130" s="25" t="str">
        <f t="shared" si="4"/>
        <v>*</v>
      </c>
    </row>
    <row r="131" spans="1:11" ht="12.75" customHeight="1" x14ac:dyDescent="0.2">
      <c r="A131" s="38"/>
      <c r="B131" s="34"/>
      <c r="C131" s="21"/>
      <c r="D131" s="22" t="s">
        <v>13</v>
      </c>
      <c r="E131" s="1"/>
      <c r="F131" s="26">
        <v>8000</v>
      </c>
      <c r="G131" s="24">
        <f t="shared" ref="G131:H131" si="133">IF(OR(D131=$M$4,D131=$M$5,D131=$M$6,D131=$M$7,D131=$M$8,D131=$M$9,D131=$M$10,D131=$M$11,D131=$M$12,D131=$M$13,D131=$M$14,D131=$M$15,D131=$M$16,D131=$M$17,D131=$M$18,D131=$M$19),1,0)</f>
        <v>1</v>
      </c>
      <c r="H131" s="24">
        <f t="shared" si="133"/>
        <v>0</v>
      </c>
      <c r="I131" s="24">
        <f t="shared" si="2"/>
        <v>1</v>
      </c>
      <c r="J131" s="2">
        <f t="shared" si="3"/>
        <v>8000</v>
      </c>
      <c r="K131" s="25" t="str">
        <f t="shared" si="4"/>
        <v>*</v>
      </c>
    </row>
    <row r="132" spans="1:11" ht="12.75" customHeight="1" x14ac:dyDescent="0.2">
      <c r="A132" s="38"/>
      <c r="B132" s="33" t="s">
        <v>15</v>
      </c>
      <c r="C132" s="21"/>
      <c r="D132" s="22" t="s">
        <v>16</v>
      </c>
      <c r="E132" s="1"/>
      <c r="F132" s="26">
        <v>8000</v>
      </c>
      <c r="G132" s="24">
        <f t="shared" ref="G132:H132" si="134">IF(OR(D132=$M$4,D132=$M$5,D132=$M$6,D132=$M$7,D132=$M$8,D132=$M$9,D132=$M$10,D132=$M$11,D132=$M$12,D132=$M$13,D132=$M$14,D132=$M$15,D132=$M$16,D132=$M$17,D132=$M$18,D132=$M$19),1,0)</f>
        <v>1</v>
      </c>
      <c r="H132" s="24">
        <f t="shared" si="134"/>
        <v>0</v>
      </c>
      <c r="I132" s="24">
        <f t="shared" si="2"/>
        <v>1</v>
      </c>
      <c r="J132" s="2">
        <f t="shared" si="3"/>
        <v>8000</v>
      </c>
      <c r="K132" s="25" t="str">
        <f t="shared" si="4"/>
        <v>*</v>
      </c>
    </row>
    <row r="133" spans="1:11" ht="12.75" customHeight="1" x14ac:dyDescent="0.2">
      <c r="A133" s="38"/>
      <c r="B133" s="34"/>
      <c r="C133" s="21"/>
      <c r="D133" s="22" t="s">
        <v>17</v>
      </c>
      <c r="E133" s="1"/>
      <c r="F133" s="26">
        <v>12000</v>
      </c>
      <c r="G133" s="24">
        <f t="shared" ref="G133:H133" si="135">IF(OR(D133=$M$4,D133=$M$5,D133=$M$6,D133=$M$7,D133=$M$8,D133=$M$9,D133=$M$10,D133=$M$11,D133=$M$12,D133=$M$13,D133=$M$14,D133=$M$15,D133=$M$16,D133=$M$17,D133=$M$18,D133=$M$19),1,0)</f>
        <v>1</v>
      </c>
      <c r="H133" s="24">
        <f t="shared" si="135"/>
        <v>0</v>
      </c>
      <c r="I133" s="24">
        <f t="shared" si="2"/>
        <v>1</v>
      </c>
      <c r="J133" s="2">
        <f t="shared" si="3"/>
        <v>12000</v>
      </c>
      <c r="K133" s="25" t="str">
        <f t="shared" si="4"/>
        <v>*</v>
      </c>
    </row>
    <row r="134" spans="1:11" ht="12.75" customHeight="1" x14ac:dyDescent="0.2">
      <c r="A134" s="38"/>
      <c r="B134" s="33" t="s">
        <v>18</v>
      </c>
      <c r="C134" s="21"/>
      <c r="D134" s="22" t="s">
        <v>11</v>
      </c>
      <c r="E134" s="1"/>
      <c r="F134" s="26">
        <v>16000</v>
      </c>
      <c r="G134" s="24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24">
        <f t="shared" si="136"/>
        <v>0</v>
      </c>
      <c r="I134" s="24">
        <f t="shared" si="2"/>
        <v>1</v>
      </c>
      <c r="J134" s="2">
        <f t="shared" si="3"/>
        <v>16000</v>
      </c>
      <c r="K134" s="25" t="str">
        <f t="shared" si="4"/>
        <v>*</v>
      </c>
    </row>
    <row r="135" spans="1:11" ht="12.75" customHeight="1" x14ac:dyDescent="0.2">
      <c r="A135" s="34"/>
      <c r="B135" s="34"/>
      <c r="C135" s="21"/>
      <c r="D135" s="22"/>
      <c r="E135" s="1"/>
      <c r="F135" s="26"/>
      <c r="G135" s="24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24">
        <f t="shared" si="137"/>
        <v>0</v>
      </c>
      <c r="I135" s="24">
        <f t="shared" si="2"/>
        <v>0</v>
      </c>
      <c r="J135" s="2">
        <f t="shared" si="3"/>
        <v>0</v>
      </c>
      <c r="K135" s="25" t="str">
        <f t="shared" si="4"/>
        <v/>
      </c>
    </row>
    <row r="136" spans="1:11" ht="12.75" customHeight="1" x14ac:dyDescent="0.2">
      <c r="A136" s="37">
        <f>A130+1</f>
        <v>45739</v>
      </c>
      <c r="B136" s="33" t="s">
        <v>10</v>
      </c>
      <c r="C136" s="21"/>
      <c r="D136" s="22" t="s">
        <v>22</v>
      </c>
      <c r="E136" s="1"/>
      <c r="F136" s="26">
        <v>4000</v>
      </c>
      <c r="G136" s="24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24">
        <f t="shared" si="138"/>
        <v>0</v>
      </c>
      <c r="I136" s="24">
        <f t="shared" si="2"/>
        <v>1</v>
      </c>
      <c r="J136" s="2">
        <f t="shared" si="3"/>
        <v>4000</v>
      </c>
      <c r="K136" s="25" t="str">
        <f t="shared" si="4"/>
        <v>*</v>
      </c>
    </row>
    <row r="137" spans="1:11" ht="12.75" customHeight="1" x14ac:dyDescent="0.2">
      <c r="A137" s="38"/>
      <c r="B137" s="34"/>
      <c r="C137" s="21"/>
      <c r="D137" s="22"/>
      <c r="E137" s="1"/>
      <c r="F137" s="26"/>
      <c r="G137" s="24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24">
        <f t="shared" si="139"/>
        <v>0</v>
      </c>
      <c r="I137" s="24">
        <f t="shared" si="2"/>
        <v>0</v>
      </c>
      <c r="J137" s="2">
        <f t="shared" si="3"/>
        <v>0</v>
      </c>
      <c r="K137" s="25" t="str">
        <f t="shared" si="4"/>
        <v/>
      </c>
    </row>
    <row r="138" spans="1:11" ht="12.75" customHeight="1" x14ac:dyDescent="0.2">
      <c r="A138" s="38"/>
      <c r="B138" s="33" t="s">
        <v>15</v>
      </c>
      <c r="C138" s="21"/>
      <c r="D138" s="22" t="s">
        <v>14</v>
      </c>
      <c r="E138" s="1"/>
      <c r="F138" s="26">
        <v>12000</v>
      </c>
      <c r="G138" s="24">
        <f t="shared" ref="G138:H138" si="140">IF(OR(D138=$M$4,D138=$M$5,D138=$M$6,D138=$M$7,D138=$M$8,D138=$M$9,D138=$M$10,D138=$M$11,D138=$M$12,D138=$M$13,D138=$M$14,D138=$M$15,D138=$M$16,D138=$M$17,D138=$M$18,D138=$M$19),1,0)</f>
        <v>1</v>
      </c>
      <c r="H138" s="24">
        <f t="shared" si="140"/>
        <v>0</v>
      </c>
      <c r="I138" s="24">
        <f t="shared" si="2"/>
        <v>1</v>
      </c>
      <c r="J138" s="2">
        <f t="shared" si="3"/>
        <v>12000</v>
      </c>
      <c r="K138" s="25" t="str">
        <f t="shared" si="4"/>
        <v>*</v>
      </c>
    </row>
    <row r="139" spans="1:11" ht="12.75" customHeight="1" x14ac:dyDescent="0.2">
      <c r="A139" s="38"/>
      <c r="B139" s="34"/>
      <c r="C139" s="21"/>
      <c r="D139" s="22"/>
      <c r="E139" s="1"/>
      <c r="F139" s="26"/>
      <c r="G139" s="24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24">
        <f t="shared" si="141"/>
        <v>0</v>
      </c>
      <c r="I139" s="24">
        <f t="shared" si="2"/>
        <v>0</v>
      </c>
      <c r="J139" s="2">
        <f t="shared" si="3"/>
        <v>0</v>
      </c>
      <c r="K139" s="25" t="str">
        <f t="shared" si="4"/>
        <v/>
      </c>
    </row>
    <row r="140" spans="1:11" ht="12.75" customHeight="1" x14ac:dyDescent="0.2">
      <c r="A140" s="38"/>
      <c r="B140" s="33" t="s">
        <v>18</v>
      </c>
      <c r="C140" s="21"/>
      <c r="D140" s="22" t="s">
        <v>11</v>
      </c>
      <c r="E140" s="1"/>
      <c r="F140" s="26">
        <v>12000</v>
      </c>
      <c r="G140" s="24">
        <f t="shared" ref="G140:H140" si="142">IF(OR(D140=$M$4,D140=$M$5,D140=$M$6,D140=$M$7,D140=$M$8,D140=$M$9,D140=$M$10,D140=$M$11,D140=$M$12,D140=$M$13,D140=$M$14,D140=$M$15,D140=$M$16,D140=$M$17,D140=$M$18,D140=$M$19),1,0)</f>
        <v>1</v>
      </c>
      <c r="H140" s="24">
        <f t="shared" si="142"/>
        <v>0</v>
      </c>
      <c r="I140" s="24">
        <f t="shared" si="2"/>
        <v>1</v>
      </c>
      <c r="J140" s="2">
        <f t="shared" si="3"/>
        <v>12000</v>
      </c>
      <c r="K140" s="25" t="str">
        <f t="shared" si="4"/>
        <v>*</v>
      </c>
    </row>
    <row r="141" spans="1:11" ht="12.75" customHeight="1" x14ac:dyDescent="0.2">
      <c r="A141" s="34"/>
      <c r="B141" s="34"/>
      <c r="C141" s="21"/>
      <c r="D141" s="22" t="s">
        <v>16</v>
      </c>
      <c r="E141" s="1"/>
      <c r="F141" s="26">
        <v>8000</v>
      </c>
      <c r="G141" s="24">
        <f t="shared" ref="G141:H141" si="143">IF(OR(D141=$M$4,D141=$M$5,D141=$M$6,D141=$M$7,D141=$M$8,D141=$M$9,D141=$M$10,D141=$M$11,D141=$M$12,D141=$M$13,D141=$M$14,D141=$M$15,D141=$M$16,D141=$M$17,D141=$M$18,D141=$M$19),1,0)</f>
        <v>1</v>
      </c>
      <c r="H141" s="24">
        <f t="shared" si="143"/>
        <v>0</v>
      </c>
      <c r="I141" s="24">
        <f t="shared" si="2"/>
        <v>1</v>
      </c>
      <c r="J141" s="2">
        <f t="shared" si="3"/>
        <v>8000</v>
      </c>
      <c r="K141" s="25" t="str">
        <f t="shared" si="4"/>
        <v>*</v>
      </c>
    </row>
    <row r="142" spans="1:11" ht="12.75" customHeight="1" x14ac:dyDescent="0.2">
      <c r="A142" s="37">
        <f>A136+1</f>
        <v>45740</v>
      </c>
      <c r="B142" s="33" t="s">
        <v>10</v>
      </c>
      <c r="C142" s="21"/>
      <c r="D142" s="22"/>
      <c r="E142" s="1"/>
      <c r="F142" s="26"/>
      <c r="G142" s="24">
        <f t="shared" ref="G142:H142" si="144">IF(OR(D142=$M$4,D142=$M$5,D142=$M$6,D142=$M$7,D142=$M$8,D142=$M$9,D142=$M$10,D142=$M$11,D142=$M$12,D142=$M$13,D142=$M$14,D142=$M$15,D142=$M$16,D142=$M$17,D142=$M$18,D142=$M$19),1,0)</f>
        <v>0</v>
      </c>
      <c r="H142" s="24">
        <f t="shared" si="144"/>
        <v>0</v>
      </c>
      <c r="I142" s="24">
        <f t="shared" si="2"/>
        <v>0</v>
      </c>
      <c r="J142" s="2">
        <f t="shared" si="3"/>
        <v>0</v>
      </c>
      <c r="K142" s="25" t="str">
        <f t="shared" si="4"/>
        <v/>
      </c>
    </row>
    <row r="143" spans="1:11" ht="12.75" customHeight="1" x14ac:dyDescent="0.2">
      <c r="A143" s="38"/>
      <c r="B143" s="34"/>
      <c r="C143" s="21"/>
      <c r="D143" s="22" t="s">
        <v>22</v>
      </c>
      <c r="E143" s="1"/>
      <c r="F143" s="26">
        <v>8000</v>
      </c>
      <c r="G143" s="24">
        <f t="shared" ref="G143:H143" si="145">IF(OR(D143=$M$4,D143=$M$5,D143=$M$6,D143=$M$7,D143=$M$8,D143=$M$9,D143=$M$10,D143=$M$11,D143=$M$12,D143=$M$13,D143=$M$14,D143=$M$15,D143=$M$16,D143=$M$17,D143=$M$18,D143=$M$19),1,0)</f>
        <v>1</v>
      </c>
      <c r="H143" s="24">
        <f t="shared" si="145"/>
        <v>0</v>
      </c>
      <c r="I143" s="24">
        <f t="shared" si="2"/>
        <v>1</v>
      </c>
      <c r="J143" s="2">
        <f t="shared" si="3"/>
        <v>8000</v>
      </c>
      <c r="K143" s="25" t="str">
        <f t="shared" si="4"/>
        <v>*</v>
      </c>
    </row>
    <row r="144" spans="1:11" ht="12.75" customHeight="1" x14ac:dyDescent="0.2">
      <c r="A144" s="38"/>
      <c r="B144" s="33" t="s">
        <v>15</v>
      </c>
      <c r="C144" s="21"/>
      <c r="D144" s="22" t="s">
        <v>14</v>
      </c>
      <c r="E144" s="1"/>
      <c r="F144" s="26">
        <v>8000</v>
      </c>
      <c r="G144" s="24">
        <f t="shared" ref="G144:H144" si="146">IF(OR(D144=$M$4,D144=$M$5,D144=$M$6,D144=$M$7,D144=$M$8,D144=$M$9,D144=$M$10,D144=$M$11,D144=$M$12,D144=$M$13,D144=$M$14,D144=$M$15,D144=$M$16,D144=$M$17,D144=$M$18,D144=$M$19),1,0)</f>
        <v>1</v>
      </c>
      <c r="H144" s="24">
        <f t="shared" si="146"/>
        <v>0</v>
      </c>
      <c r="I144" s="24">
        <f t="shared" si="2"/>
        <v>1</v>
      </c>
      <c r="J144" s="2">
        <f t="shared" si="3"/>
        <v>8000</v>
      </c>
      <c r="K144" s="25" t="str">
        <f t="shared" si="4"/>
        <v>*</v>
      </c>
    </row>
    <row r="145" spans="1:11" ht="12.75" customHeight="1" x14ac:dyDescent="0.2">
      <c r="A145" s="38"/>
      <c r="B145" s="34"/>
      <c r="C145" s="21"/>
      <c r="D145" s="22"/>
      <c r="E145" s="1"/>
      <c r="F145" s="26"/>
      <c r="G145" s="24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24">
        <f t="shared" si="147"/>
        <v>0</v>
      </c>
      <c r="I145" s="24">
        <f t="shared" si="2"/>
        <v>0</v>
      </c>
      <c r="J145" s="2">
        <f t="shared" si="3"/>
        <v>0</v>
      </c>
      <c r="K145" s="25" t="str">
        <f t="shared" si="4"/>
        <v/>
      </c>
    </row>
    <row r="146" spans="1:11" ht="12.75" customHeight="1" x14ac:dyDescent="0.2">
      <c r="A146" s="38"/>
      <c r="B146" s="33" t="s">
        <v>18</v>
      </c>
      <c r="C146" s="21"/>
      <c r="D146" s="22" t="s">
        <v>11</v>
      </c>
      <c r="E146" s="1"/>
      <c r="F146" s="26">
        <v>8000</v>
      </c>
      <c r="G146" s="24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24">
        <f t="shared" si="148"/>
        <v>0</v>
      </c>
      <c r="I146" s="24">
        <f t="shared" si="2"/>
        <v>1</v>
      </c>
      <c r="J146" s="2">
        <f t="shared" si="3"/>
        <v>8000</v>
      </c>
      <c r="K146" s="25" t="str">
        <f t="shared" si="4"/>
        <v>*</v>
      </c>
    </row>
    <row r="147" spans="1:11" ht="12.75" customHeight="1" x14ac:dyDescent="0.2">
      <c r="A147" s="34"/>
      <c r="B147" s="34"/>
      <c r="C147" s="21"/>
      <c r="D147" s="22" t="s">
        <v>16</v>
      </c>
      <c r="E147" s="1"/>
      <c r="F147" s="26">
        <v>4000</v>
      </c>
      <c r="G147" s="24">
        <f t="shared" ref="G147:H147" si="149">IF(OR(D147=$M$4,D147=$M$5,D147=$M$6,D147=$M$7,D147=$M$8,D147=$M$9,D147=$M$10,D147=$M$11,D147=$M$12,D147=$M$13,D147=$M$14,D147=$M$15,D147=$M$16,D147=$M$17,D147=$M$18,D147=$M$19),1,0)</f>
        <v>1</v>
      </c>
      <c r="H147" s="24">
        <f t="shared" si="149"/>
        <v>0</v>
      </c>
      <c r="I147" s="24">
        <f t="shared" si="2"/>
        <v>1</v>
      </c>
      <c r="J147" s="2">
        <f t="shared" si="3"/>
        <v>4000</v>
      </c>
      <c r="K147" s="25" t="str">
        <f t="shared" si="4"/>
        <v>*</v>
      </c>
    </row>
    <row r="148" spans="1:11" ht="12.75" customHeight="1" x14ac:dyDescent="0.2">
      <c r="A148" s="37">
        <f>A142+1</f>
        <v>45741</v>
      </c>
      <c r="B148" s="33" t="s">
        <v>10</v>
      </c>
      <c r="C148" s="21"/>
      <c r="D148" s="22"/>
      <c r="E148" s="1"/>
      <c r="F148" s="26"/>
      <c r="G148" s="24">
        <f t="shared" ref="G148:H148" si="150">IF(OR(D148=$M$4,D148=$M$5,D148=$M$6,D148=$M$7,D148=$M$8,D148=$M$9,D148=$M$10,D148=$M$11,D148=$M$12,D148=$M$13,D148=$M$14,D148=$M$15,D148=$M$16,D148=$M$17,D148=$M$18,D148=$M$19),1,0)</f>
        <v>0</v>
      </c>
      <c r="H148" s="24">
        <f t="shared" si="150"/>
        <v>0</v>
      </c>
      <c r="I148" s="24">
        <f t="shared" si="2"/>
        <v>0</v>
      </c>
      <c r="J148" s="2">
        <f t="shared" si="3"/>
        <v>0</v>
      </c>
      <c r="K148" s="25" t="str">
        <f t="shared" si="4"/>
        <v/>
      </c>
    </row>
    <row r="149" spans="1:11" ht="12.75" customHeight="1" x14ac:dyDescent="0.2">
      <c r="A149" s="38"/>
      <c r="B149" s="34"/>
      <c r="C149" s="21"/>
      <c r="D149" s="22"/>
      <c r="E149" s="1"/>
      <c r="F149" s="26"/>
      <c r="G149" s="24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24">
        <f t="shared" si="151"/>
        <v>0</v>
      </c>
      <c r="I149" s="24">
        <f t="shared" si="2"/>
        <v>0</v>
      </c>
      <c r="J149" s="2">
        <f t="shared" si="3"/>
        <v>0</v>
      </c>
      <c r="K149" s="25" t="str">
        <f t="shared" si="4"/>
        <v/>
      </c>
    </row>
    <row r="150" spans="1:11" ht="12.75" customHeight="1" x14ac:dyDescent="0.2">
      <c r="A150" s="38"/>
      <c r="B150" s="33" t="s">
        <v>15</v>
      </c>
      <c r="C150" s="21"/>
      <c r="D150" s="22" t="s">
        <v>14</v>
      </c>
      <c r="E150" s="1"/>
      <c r="F150" s="26">
        <v>8000</v>
      </c>
      <c r="G150" s="24">
        <f t="shared" ref="G150:H150" si="152">IF(OR(D150=$M$4,D150=$M$5,D150=$M$6,D150=$M$7,D150=$M$8,D150=$M$9,D150=$M$10,D150=$M$11,D150=$M$12,D150=$M$13,D150=$M$14,D150=$M$15,D150=$M$16,D150=$M$17,D150=$M$18,D150=$M$19),1,0)</f>
        <v>1</v>
      </c>
      <c r="H150" s="24">
        <f t="shared" si="152"/>
        <v>0</v>
      </c>
      <c r="I150" s="24">
        <f t="shared" si="2"/>
        <v>1</v>
      </c>
      <c r="J150" s="2">
        <f t="shared" si="3"/>
        <v>8000</v>
      </c>
      <c r="K150" s="25" t="str">
        <f t="shared" si="4"/>
        <v>*</v>
      </c>
    </row>
    <row r="151" spans="1:11" ht="12.75" customHeight="1" x14ac:dyDescent="0.2">
      <c r="A151" s="38"/>
      <c r="B151" s="34"/>
      <c r="C151" s="21"/>
      <c r="D151" s="22"/>
      <c r="E151" s="1"/>
      <c r="F151" s="26"/>
      <c r="G151" s="24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24">
        <f t="shared" si="153"/>
        <v>0</v>
      </c>
      <c r="I151" s="24">
        <f t="shared" si="2"/>
        <v>0</v>
      </c>
      <c r="J151" s="2">
        <f t="shared" si="3"/>
        <v>0</v>
      </c>
      <c r="K151" s="25" t="str">
        <f t="shared" si="4"/>
        <v/>
      </c>
    </row>
    <row r="152" spans="1:11" ht="12.75" customHeight="1" x14ac:dyDescent="0.2">
      <c r="A152" s="38"/>
      <c r="B152" s="33" t="s">
        <v>18</v>
      </c>
      <c r="C152" s="21"/>
      <c r="D152" s="22" t="s">
        <v>11</v>
      </c>
      <c r="E152" s="1"/>
      <c r="F152" s="26">
        <v>4000</v>
      </c>
      <c r="G152" s="24">
        <f t="shared" ref="G152:H152" si="154">IF(OR(D152=$M$4,D152=$M$5,D152=$M$6,D152=$M$7,D152=$M$8,D152=$M$9,D152=$M$10,D152=$M$11,D152=$M$12,D152=$M$13,D152=$M$14,D152=$M$15,D152=$M$16,D152=$M$17,D152=$M$18,D152=$M$19),1,0)</f>
        <v>1</v>
      </c>
      <c r="H152" s="24">
        <f t="shared" si="154"/>
        <v>0</v>
      </c>
      <c r="I152" s="24">
        <f t="shared" si="2"/>
        <v>1</v>
      </c>
      <c r="J152" s="2">
        <f t="shared" si="3"/>
        <v>4000</v>
      </c>
      <c r="K152" s="25" t="str">
        <f t="shared" si="4"/>
        <v>*</v>
      </c>
    </row>
    <row r="153" spans="1:11" ht="12.75" customHeight="1" x14ac:dyDescent="0.2">
      <c r="A153" s="34"/>
      <c r="B153" s="34"/>
      <c r="C153" s="21"/>
      <c r="D153" s="22" t="s">
        <v>13</v>
      </c>
      <c r="E153" s="1"/>
      <c r="F153" s="26">
        <v>12000</v>
      </c>
      <c r="G153" s="24">
        <f t="shared" ref="G153:H153" si="155">IF(OR(D153=$M$4,D153=$M$5,D153=$M$6,D153=$M$7,D153=$M$8,D153=$M$9,D153=$M$10,D153=$M$11,D153=$M$12,D153=$M$13,D153=$M$14,D153=$M$15,D153=$M$16,D153=$M$17,D153=$M$18,D153=$M$19),1,0)</f>
        <v>1</v>
      </c>
      <c r="H153" s="24">
        <f t="shared" si="155"/>
        <v>0</v>
      </c>
      <c r="I153" s="24">
        <f t="shared" si="2"/>
        <v>1</v>
      </c>
      <c r="J153" s="2">
        <f t="shared" si="3"/>
        <v>12000</v>
      </c>
      <c r="K153" s="25" t="str">
        <f t="shared" si="4"/>
        <v>*</v>
      </c>
    </row>
    <row r="154" spans="1:11" ht="12.75" customHeight="1" x14ac:dyDescent="0.2">
      <c r="A154" s="37">
        <f>A148+1</f>
        <v>45742</v>
      </c>
      <c r="B154" s="33" t="s">
        <v>10</v>
      </c>
      <c r="C154" s="21"/>
      <c r="D154" s="22" t="s">
        <v>20</v>
      </c>
      <c r="E154" s="1"/>
      <c r="F154" s="26">
        <v>4000</v>
      </c>
      <c r="G154" s="24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24">
        <f t="shared" si="156"/>
        <v>0</v>
      </c>
      <c r="I154" s="24">
        <f t="shared" si="2"/>
        <v>1</v>
      </c>
      <c r="J154" s="2">
        <f t="shared" si="3"/>
        <v>4000</v>
      </c>
      <c r="K154" s="25" t="str">
        <f t="shared" si="4"/>
        <v>*</v>
      </c>
    </row>
    <row r="155" spans="1:11" ht="12.75" customHeight="1" x14ac:dyDescent="0.2">
      <c r="A155" s="38"/>
      <c r="B155" s="34"/>
      <c r="C155" s="21"/>
      <c r="D155" s="22"/>
      <c r="E155" s="1"/>
      <c r="F155" s="26"/>
      <c r="G155" s="24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24">
        <f t="shared" si="157"/>
        <v>0</v>
      </c>
      <c r="I155" s="24">
        <f t="shared" si="2"/>
        <v>0</v>
      </c>
      <c r="J155" s="2">
        <f t="shared" si="3"/>
        <v>0</v>
      </c>
      <c r="K155" s="25" t="str">
        <f t="shared" si="4"/>
        <v/>
      </c>
    </row>
    <row r="156" spans="1:11" ht="12.75" customHeight="1" x14ac:dyDescent="0.2">
      <c r="A156" s="38"/>
      <c r="B156" s="33" t="s">
        <v>15</v>
      </c>
      <c r="C156" s="21"/>
      <c r="D156" s="22" t="s">
        <v>17</v>
      </c>
      <c r="E156" s="1"/>
      <c r="F156" s="26">
        <v>12000</v>
      </c>
      <c r="G156" s="24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24">
        <f t="shared" si="158"/>
        <v>0</v>
      </c>
      <c r="I156" s="24">
        <f t="shared" si="2"/>
        <v>1</v>
      </c>
      <c r="J156" s="2">
        <f t="shared" si="3"/>
        <v>12000</v>
      </c>
      <c r="K156" s="25" t="str">
        <f t="shared" si="4"/>
        <v>*</v>
      </c>
    </row>
    <row r="157" spans="1:11" ht="12.75" customHeight="1" x14ac:dyDescent="0.2">
      <c r="A157" s="38"/>
      <c r="B157" s="34"/>
      <c r="C157" s="21"/>
      <c r="D157" s="22"/>
      <c r="E157" s="1"/>
      <c r="F157" s="26"/>
      <c r="G157" s="24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24">
        <f t="shared" si="159"/>
        <v>0</v>
      </c>
      <c r="I157" s="24">
        <f t="shared" si="2"/>
        <v>0</v>
      </c>
      <c r="J157" s="2">
        <f t="shared" si="3"/>
        <v>0</v>
      </c>
      <c r="K157" s="25" t="str">
        <f t="shared" si="4"/>
        <v/>
      </c>
    </row>
    <row r="158" spans="1:11" ht="12.75" customHeight="1" x14ac:dyDescent="0.2">
      <c r="A158" s="38"/>
      <c r="B158" s="33" t="s">
        <v>18</v>
      </c>
      <c r="C158" s="21"/>
      <c r="D158" s="22" t="s">
        <v>11</v>
      </c>
      <c r="E158" s="1"/>
      <c r="F158" s="26">
        <v>16000</v>
      </c>
      <c r="G158" s="24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24">
        <f t="shared" si="160"/>
        <v>0</v>
      </c>
      <c r="I158" s="24">
        <f t="shared" si="2"/>
        <v>1</v>
      </c>
      <c r="J158" s="2">
        <f t="shared" si="3"/>
        <v>16000</v>
      </c>
      <c r="K158" s="25" t="str">
        <f t="shared" si="4"/>
        <v>*</v>
      </c>
    </row>
    <row r="159" spans="1:11" ht="12.75" customHeight="1" x14ac:dyDescent="0.2">
      <c r="A159" s="34"/>
      <c r="B159" s="34"/>
      <c r="C159" s="21"/>
      <c r="D159" s="22" t="s">
        <v>13</v>
      </c>
      <c r="E159" s="1"/>
      <c r="F159" s="26">
        <v>12000</v>
      </c>
      <c r="G159" s="24">
        <f t="shared" ref="G159:H159" si="161">IF(OR(D159=$M$4,D159=$M$5,D159=$M$6,D159=$M$7,D159=$M$8,D159=$M$9,D159=$M$10,D159=$M$11,D159=$M$12,D159=$M$13,D159=$M$14,D159=$M$15,D159=$M$16,D159=$M$17,D159=$M$18,D159=$M$19),1,0)</f>
        <v>1</v>
      </c>
      <c r="H159" s="24">
        <f t="shared" si="161"/>
        <v>0</v>
      </c>
      <c r="I159" s="24">
        <f t="shared" si="2"/>
        <v>1</v>
      </c>
      <c r="J159" s="2">
        <f t="shared" si="3"/>
        <v>12000</v>
      </c>
      <c r="K159" s="25" t="str">
        <f t="shared" si="4"/>
        <v>*</v>
      </c>
    </row>
    <row r="160" spans="1:11" ht="12.75" customHeight="1" x14ac:dyDescent="0.2">
      <c r="A160" s="37">
        <f>A154+1</f>
        <v>45743</v>
      </c>
      <c r="B160" s="33" t="s">
        <v>10</v>
      </c>
      <c r="C160" s="21"/>
      <c r="D160" s="22"/>
      <c r="E160" s="1"/>
      <c r="F160" s="26"/>
      <c r="G160" s="24">
        <f t="shared" ref="G160:H160" si="162">IF(OR(D160=$M$4,D160=$M$5,D160=$M$6,D160=$M$7,D160=$M$8,D160=$M$9,D160=$M$10,D160=$M$11,D160=$M$12,D160=$M$13,D160=$M$14,D160=$M$15,D160=$M$16,D160=$M$17,D160=$M$18,D160=$M$19),1,0)</f>
        <v>0</v>
      </c>
      <c r="H160" s="24">
        <f t="shared" si="162"/>
        <v>0</v>
      </c>
      <c r="I160" s="24">
        <f t="shared" si="2"/>
        <v>0</v>
      </c>
      <c r="J160" s="2">
        <f t="shared" si="3"/>
        <v>0</v>
      </c>
      <c r="K160" s="25" t="str">
        <f t="shared" si="4"/>
        <v/>
      </c>
    </row>
    <row r="161" spans="1:11" ht="12.75" customHeight="1" x14ac:dyDescent="0.2">
      <c r="A161" s="38"/>
      <c r="B161" s="34"/>
      <c r="C161" s="21"/>
      <c r="D161" s="22" t="s">
        <v>22</v>
      </c>
      <c r="E161" s="1"/>
      <c r="F161" s="26">
        <v>8000</v>
      </c>
      <c r="G161" s="24">
        <f t="shared" ref="G161:H161" si="163">IF(OR(D161=$M$4,D161=$M$5,D161=$M$6,D161=$M$7,D161=$M$8,D161=$M$9,D161=$M$10,D161=$M$11,D161=$M$12,D161=$M$13,D161=$M$14,D161=$M$15,D161=$M$16,D161=$M$17,D161=$M$18,D161=$M$19),1,0)</f>
        <v>1</v>
      </c>
      <c r="H161" s="24">
        <f t="shared" si="163"/>
        <v>0</v>
      </c>
      <c r="I161" s="24">
        <f t="shared" si="2"/>
        <v>1</v>
      </c>
      <c r="J161" s="2">
        <f t="shared" si="3"/>
        <v>8000</v>
      </c>
      <c r="K161" s="25" t="str">
        <f t="shared" si="4"/>
        <v>*</v>
      </c>
    </row>
    <row r="162" spans="1:11" ht="12.75" customHeight="1" x14ac:dyDescent="0.2">
      <c r="A162" s="38"/>
      <c r="B162" s="33" t="s">
        <v>15</v>
      </c>
      <c r="C162" s="21"/>
      <c r="D162" s="22" t="s">
        <v>16</v>
      </c>
      <c r="E162" s="1"/>
      <c r="F162" s="26">
        <v>8000</v>
      </c>
      <c r="G162" s="24">
        <f t="shared" ref="G162:H162" si="164">IF(OR(D162=$M$4,D162=$M$5,D162=$M$6,D162=$M$7,D162=$M$8,D162=$M$9,D162=$M$10,D162=$M$11,D162=$M$12,D162=$M$13,D162=$M$14,D162=$M$15,D162=$M$16,D162=$M$17,D162=$M$18,D162=$M$19),1,0)</f>
        <v>1</v>
      </c>
      <c r="H162" s="24">
        <f t="shared" si="164"/>
        <v>0</v>
      </c>
      <c r="I162" s="24">
        <f t="shared" si="2"/>
        <v>1</v>
      </c>
      <c r="J162" s="2">
        <f t="shared" si="3"/>
        <v>8000</v>
      </c>
      <c r="K162" s="25" t="str">
        <f t="shared" si="4"/>
        <v>*</v>
      </c>
    </row>
    <row r="163" spans="1:11" ht="12.75" customHeight="1" x14ac:dyDescent="0.2">
      <c r="A163" s="38"/>
      <c r="B163" s="34"/>
      <c r="C163" s="21"/>
      <c r="D163" s="22"/>
      <c r="E163" s="1"/>
      <c r="F163" s="26"/>
      <c r="G163" s="24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24">
        <f t="shared" si="165"/>
        <v>0</v>
      </c>
      <c r="I163" s="24">
        <f t="shared" si="2"/>
        <v>0</v>
      </c>
      <c r="J163" s="2">
        <f t="shared" si="3"/>
        <v>0</v>
      </c>
      <c r="K163" s="25" t="str">
        <f t="shared" si="4"/>
        <v/>
      </c>
    </row>
    <row r="164" spans="1:11" ht="12.75" customHeight="1" x14ac:dyDescent="0.2">
      <c r="A164" s="38"/>
      <c r="B164" s="33" t="s">
        <v>18</v>
      </c>
      <c r="C164" s="21"/>
      <c r="D164" s="22" t="s">
        <v>11</v>
      </c>
      <c r="E164" s="1"/>
      <c r="F164" s="26">
        <v>12000</v>
      </c>
      <c r="G164" s="24">
        <f t="shared" ref="G164:H164" si="166">IF(OR(D164=$M$4,D164=$M$5,D164=$M$6,D164=$M$7,D164=$M$8,D164=$M$9,D164=$M$10,D164=$M$11,D164=$M$12,D164=$M$13,D164=$M$14,D164=$M$15,D164=$M$16,D164=$M$17,D164=$M$18,D164=$M$19),1,0)</f>
        <v>1</v>
      </c>
      <c r="H164" s="24">
        <f t="shared" si="166"/>
        <v>0</v>
      </c>
      <c r="I164" s="24">
        <f t="shared" si="2"/>
        <v>1</v>
      </c>
      <c r="J164" s="2">
        <f t="shared" si="3"/>
        <v>12000</v>
      </c>
      <c r="K164" s="25" t="str">
        <f t="shared" si="4"/>
        <v>*</v>
      </c>
    </row>
    <row r="165" spans="1:11" ht="12.75" customHeight="1" x14ac:dyDescent="0.2">
      <c r="A165" s="34"/>
      <c r="B165" s="34"/>
      <c r="C165" s="21"/>
      <c r="D165" s="22" t="s">
        <v>20</v>
      </c>
      <c r="E165" s="1"/>
      <c r="F165" s="26">
        <v>4000</v>
      </c>
      <c r="G165" s="24">
        <f t="shared" ref="G165:H165" si="167">IF(OR(D165=$M$4,D165=$M$5,D165=$M$6,D165=$M$7,D165=$M$8,D165=$M$9,D165=$M$10,D165=$M$11,D165=$M$12,D165=$M$13,D165=$M$14,D165=$M$15,D165=$M$16,D165=$M$17,D165=$M$18,D165=$M$19),1,0)</f>
        <v>1</v>
      </c>
      <c r="H165" s="24">
        <f t="shared" si="167"/>
        <v>0</v>
      </c>
      <c r="I165" s="24">
        <f t="shared" si="2"/>
        <v>1</v>
      </c>
      <c r="J165" s="2">
        <f t="shared" si="3"/>
        <v>4000</v>
      </c>
      <c r="K165" s="25" t="str">
        <f t="shared" si="4"/>
        <v>*</v>
      </c>
    </row>
    <row r="166" spans="1:11" ht="12.75" customHeight="1" x14ac:dyDescent="0.2">
      <c r="A166" s="37">
        <f>A160+1</f>
        <v>45744</v>
      </c>
      <c r="B166" s="33" t="s">
        <v>10</v>
      </c>
      <c r="C166" s="21"/>
      <c r="D166" s="22" t="s">
        <v>22</v>
      </c>
      <c r="E166" s="1"/>
      <c r="F166" s="26">
        <v>4000</v>
      </c>
      <c r="G166" s="24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24">
        <f t="shared" si="168"/>
        <v>0</v>
      </c>
      <c r="I166" s="24">
        <f t="shared" si="2"/>
        <v>1</v>
      </c>
      <c r="J166" s="2">
        <f t="shared" si="3"/>
        <v>4000</v>
      </c>
      <c r="K166" s="25" t="str">
        <f t="shared" si="4"/>
        <v>*</v>
      </c>
    </row>
    <row r="167" spans="1:11" ht="12.75" customHeight="1" x14ac:dyDescent="0.2">
      <c r="A167" s="38"/>
      <c r="B167" s="34"/>
      <c r="C167" s="21"/>
      <c r="D167" s="22"/>
      <c r="E167" s="1"/>
      <c r="F167" s="26"/>
      <c r="G167" s="24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24">
        <f t="shared" si="169"/>
        <v>0</v>
      </c>
      <c r="I167" s="24">
        <f t="shared" si="2"/>
        <v>0</v>
      </c>
      <c r="J167" s="2">
        <f t="shared" si="3"/>
        <v>0</v>
      </c>
      <c r="K167" s="25" t="str">
        <f t="shared" si="4"/>
        <v/>
      </c>
    </row>
    <row r="168" spans="1:11" ht="12.75" customHeight="1" x14ac:dyDescent="0.2">
      <c r="A168" s="38"/>
      <c r="B168" s="33" t="s">
        <v>15</v>
      </c>
      <c r="C168" s="21"/>
      <c r="D168" s="22"/>
      <c r="E168" s="1"/>
      <c r="F168" s="26"/>
      <c r="G168" s="24">
        <f t="shared" ref="G168:H168" si="170">IF(OR(D168=$M$4,D168=$M$5,D168=$M$6,D168=$M$7,D168=$M$8,D168=$M$9,D168=$M$10,D168=$M$11,D168=$M$12,D168=$M$13,D168=$M$14,D168=$M$15,D168=$M$16,D168=$M$17,D168=$M$18,D168=$M$19),1,0)</f>
        <v>0</v>
      </c>
      <c r="H168" s="24">
        <f t="shared" si="170"/>
        <v>0</v>
      </c>
      <c r="I168" s="24">
        <f t="shared" si="2"/>
        <v>0</v>
      </c>
      <c r="J168" s="2">
        <f t="shared" si="3"/>
        <v>0</v>
      </c>
      <c r="K168" s="25" t="str">
        <f t="shared" si="4"/>
        <v/>
      </c>
    </row>
    <row r="169" spans="1:11" ht="12.75" customHeight="1" x14ac:dyDescent="0.2">
      <c r="A169" s="38"/>
      <c r="B169" s="34"/>
      <c r="C169" s="21"/>
      <c r="D169" s="22" t="s">
        <v>14</v>
      </c>
      <c r="E169" s="1"/>
      <c r="F169" s="26">
        <v>4000</v>
      </c>
      <c r="G169" s="24">
        <f t="shared" ref="G169:H169" si="171">IF(OR(D169=$M$4,D169=$M$5,D169=$M$6,D169=$M$7,D169=$M$8,D169=$M$9,D169=$M$10,D169=$M$11,D169=$M$12,D169=$M$13,D169=$M$14,D169=$M$15,D169=$M$16,D169=$M$17,D169=$M$18,D169=$M$19),1,0)</f>
        <v>1</v>
      </c>
      <c r="H169" s="24">
        <f t="shared" si="171"/>
        <v>0</v>
      </c>
      <c r="I169" s="24">
        <f t="shared" si="2"/>
        <v>1</v>
      </c>
      <c r="J169" s="2">
        <f t="shared" si="3"/>
        <v>4000</v>
      </c>
      <c r="K169" s="25" t="str">
        <f t="shared" si="4"/>
        <v>*</v>
      </c>
    </row>
    <row r="170" spans="1:11" ht="12.75" customHeight="1" x14ac:dyDescent="0.2">
      <c r="A170" s="38"/>
      <c r="B170" s="33" t="s">
        <v>18</v>
      </c>
      <c r="C170" s="21"/>
      <c r="D170" s="22" t="s">
        <v>21</v>
      </c>
      <c r="E170" s="1"/>
      <c r="F170" s="26">
        <v>12000</v>
      </c>
      <c r="G170" s="24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24">
        <f t="shared" si="172"/>
        <v>0</v>
      </c>
      <c r="I170" s="24">
        <f t="shared" si="2"/>
        <v>1</v>
      </c>
      <c r="J170" s="2">
        <f t="shared" si="3"/>
        <v>12000</v>
      </c>
      <c r="K170" s="25" t="str">
        <f t="shared" si="4"/>
        <v>*</v>
      </c>
    </row>
    <row r="171" spans="1:11" ht="12.75" customHeight="1" x14ac:dyDescent="0.2">
      <c r="A171" s="34"/>
      <c r="B171" s="34"/>
      <c r="C171" s="21"/>
      <c r="D171" s="22" t="s">
        <v>14</v>
      </c>
      <c r="E171" s="1"/>
      <c r="F171" s="26">
        <v>16000</v>
      </c>
      <c r="G171" s="24">
        <f t="shared" ref="G171:H171" si="173">IF(OR(D171=$M$4,D171=$M$5,D171=$M$6,D171=$M$7,D171=$M$8,D171=$M$9,D171=$M$10,D171=$M$11,D171=$M$12,D171=$M$13,D171=$M$14,D171=$M$15,D171=$M$16,D171=$M$17,D171=$M$18,D171=$M$19),1,0)</f>
        <v>1</v>
      </c>
      <c r="H171" s="24">
        <f t="shared" si="173"/>
        <v>0</v>
      </c>
      <c r="I171" s="24">
        <f t="shared" si="2"/>
        <v>1</v>
      </c>
      <c r="J171" s="2">
        <f t="shared" si="3"/>
        <v>16000</v>
      </c>
      <c r="K171" s="25" t="str">
        <f t="shared" si="4"/>
        <v>*</v>
      </c>
    </row>
    <row r="172" spans="1:11" ht="12.75" customHeight="1" x14ac:dyDescent="0.2">
      <c r="A172" s="37">
        <f>A166+1</f>
        <v>45745</v>
      </c>
      <c r="B172" s="33" t="s">
        <v>10</v>
      </c>
      <c r="C172" s="21"/>
      <c r="D172" s="22" t="s">
        <v>22</v>
      </c>
      <c r="E172" s="1"/>
      <c r="F172" s="26">
        <v>4000</v>
      </c>
      <c r="G172" s="24">
        <f t="shared" ref="G172:H172" si="174">IF(OR(D172=$M$4,D172=$M$5,D172=$M$6,D172=$M$7,D172=$M$8,D172=$M$9,D172=$M$10,D172=$M$11,D172=$M$12,D172=$M$13,D172=$M$14,D172=$M$15,D172=$M$16,D172=$M$17,D172=$M$18,D172=$M$19),1,0)</f>
        <v>1</v>
      </c>
      <c r="H172" s="24">
        <f t="shared" si="174"/>
        <v>0</v>
      </c>
      <c r="I172" s="24">
        <f t="shared" si="2"/>
        <v>1</v>
      </c>
      <c r="J172" s="2">
        <f t="shared" si="3"/>
        <v>4000</v>
      </c>
      <c r="K172" s="25" t="str">
        <f t="shared" si="4"/>
        <v>*</v>
      </c>
    </row>
    <row r="173" spans="1:11" ht="12.75" customHeight="1" x14ac:dyDescent="0.2">
      <c r="A173" s="38"/>
      <c r="B173" s="34"/>
      <c r="C173" s="21"/>
      <c r="D173" s="22"/>
      <c r="E173" s="1"/>
      <c r="F173" s="26"/>
      <c r="G173" s="24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24">
        <f t="shared" si="175"/>
        <v>0</v>
      </c>
      <c r="I173" s="24">
        <f t="shared" si="2"/>
        <v>0</v>
      </c>
      <c r="J173" s="2">
        <f t="shared" si="3"/>
        <v>0</v>
      </c>
      <c r="K173" s="25" t="str">
        <f t="shared" si="4"/>
        <v/>
      </c>
    </row>
    <row r="174" spans="1:11" ht="12.75" customHeight="1" x14ac:dyDescent="0.2">
      <c r="A174" s="38"/>
      <c r="B174" s="33" t="s">
        <v>15</v>
      </c>
      <c r="C174" s="21"/>
      <c r="D174" s="22" t="s">
        <v>14</v>
      </c>
      <c r="E174" s="1"/>
      <c r="F174" s="26">
        <v>12000</v>
      </c>
      <c r="G174" s="24">
        <f t="shared" ref="G174:H174" si="176">IF(OR(D174=$M$4,D174=$M$5,D174=$M$6,D174=$M$7,D174=$M$8,D174=$M$9,D174=$M$10,D174=$M$11,D174=$M$12,D174=$M$13,D174=$M$14,D174=$M$15,D174=$M$16,D174=$M$17,D174=$M$18,D174=$M$19),1,0)</f>
        <v>1</v>
      </c>
      <c r="H174" s="24">
        <f t="shared" si="176"/>
        <v>0</v>
      </c>
      <c r="I174" s="24">
        <f t="shared" si="2"/>
        <v>1</v>
      </c>
      <c r="J174" s="2">
        <f t="shared" si="3"/>
        <v>12000</v>
      </c>
      <c r="K174" s="25" t="str">
        <f t="shared" si="4"/>
        <v>*</v>
      </c>
    </row>
    <row r="175" spans="1:11" ht="12.75" customHeight="1" x14ac:dyDescent="0.2">
      <c r="A175" s="38"/>
      <c r="B175" s="34"/>
      <c r="C175" s="21"/>
      <c r="D175" s="22" t="s">
        <v>14</v>
      </c>
      <c r="E175" s="1"/>
      <c r="F175" s="26">
        <v>17000</v>
      </c>
      <c r="G175" s="24">
        <f t="shared" ref="G175:H175" si="177">IF(OR(D175=$M$4,D175=$M$5,D175=$M$6,D175=$M$7,D175=$M$8,D175=$M$9,D175=$M$10,D175=$M$11,D175=$M$12,D175=$M$13,D175=$M$14,D175=$M$15,D175=$M$16,D175=$M$17,D175=$M$18,D175=$M$19),1,0)</f>
        <v>1</v>
      </c>
      <c r="H175" s="24">
        <f t="shared" si="177"/>
        <v>0</v>
      </c>
      <c r="I175" s="24">
        <f t="shared" si="2"/>
        <v>1</v>
      </c>
      <c r="J175" s="2">
        <f t="shared" si="3"/>
        <v>17000</v>
      </c>
      <c r="K175" s="25" t="str">
        <f t="shared" si="4"/>
        <v>*</v>
      </c>
    </row>
    <row r="176" spans="1:11" ht="12.75" customHeight="1" x14ac:dyDescent="0.2">
      <c r="A176" s="38"/>
      <c r="B176" s="33" t="s">
        <v>18</v>
      </c>
      <c r="C176" s="21"/>
      <c r="D176" s="22" t="s">
        <v>13</v>
      </c>
      <c r="E176" s="1"/>
      <c r="F176" s="26">
        <v>8000</v>
      </c>
      <c r="G176" s="24">
        <f t="shared" ref="G176:H176" si="178">IF(OR(D176=$M$4,D176=$M$5,D176=$M$6,D176=$M$7,D176=$M$8,D176=$M$9,D176=$M$10,D176=$M$11,D176=$M$12,D176=$M$13,D176=$M$14,D176=$M$15,D176=$M$16,D176=$M$17,D176=$M$18,D176=$M$19),1,0)</f>
        <v>1</v>
      </c>
      <c r="H176" s="24">
        <f t="shared" si="178"/>
        <v>0</v>
      </c>
      <c r="I176" s="24">
        <f t="shared" si="2"/>
        <v>1</v>
      </c>
      <c r="J176" s="2">
        <f t="shared" si="3"/>
        <v>8000</v>
      </c>
      <c r="K176" s="25" t="str">
        <f t="shared" si="4"/>
        <v>*</v>
      </c>
    </row>
    <row r="177" spans="1:11" ht="12.75" customHeight="1" x14ac:dyDescent="0.2">
      <c r="A177" s="34"/>
      <c r="B177" s="34"/>
      <c r="C177" s="21"/>
      <c r="D177" s="22" t="s">
        <v>17</v>
      </c>
      <c r="E177" s="1"/>
      <c r="F177" s="26">
        <v>8000</v>
      </c>
      <c r="G177" s="24">
        <f t="shared" ref="G177:H177" si="179">IF(OR(D177=$M$4,D177=$M$5,D177=$M$6,D177=$M$7,D177=$M$8,D177=$M$9,D177=$M$10,D177=$M$11,D177=$M$12,D177=$M$13,D177=$M$14,D177=$M$15,D177=$M$16,D177=$M$17,D177=$M$18,D177=$M$19),1,0)</f>
        <v>1</v>
      </c>
      <c r="H177" s="24">
        <f t="shared" si="179"/>
        <v>0</v>
      </c>
      <c r="I177" s="24">
        <f t="shared" si="2"/>
        <v>1</v>
      </c>
      <c r="J177" s="2">
        <f t="shared" si="3"/>
        <v>8000</v>
      </c>
      <c r="K177" s="25" t="str">
        <f t="shared" si="4"/>
        <v>*</v>
      </c>
    </row>
    <row r="178" spans="1:11" ht="12.75" customHeight="1" x14ac:dyDescent="0.2">
      <c r="A178" s="37">
        <f>A172+1</f>
        <v>45746</v>
      </c>
      <c r="B178" s="33" t="s">
        <v>10</v>
      </c>
      <c r="C178" s="21"/>
      <c r="D178" s="22" t="s">
        <v>11</v>
      </c>
      <c r="E178" s="1"/>
      <c r="F178" s="26">
        <v>12000</v>
      </c>
      <c r="G178" s="24">
        <f t="shared" ref="G178:H178" si="180">IF(OR(D178=$M$4,D178=$M$5,D178=$M$6,D178=$M$7,D178=$M$8,D178=$M$9,D178=$M$10,D178=$M$11,D178=$M$12,D178=$M$13,D178=$M$14,D178=$M$15,D178=$M$16,D178=$M$17,D178=$M$18,D178=$M$19),1,0)</f>
        <v>1</v>
      </c>
      <c r="H178" s="24">
        <f t="shared" si="180"/>
        <v>0</v>
      </c>
      <c r="I178" s="24">
        <f t="shared" si="2"/>
        <v>1</v>
      </c>
      <c r="J178" s="2">
        <f t="shared" si="3"/>
        <v>12000</v>
      </c>
      <c r="K178" s="25" t="str">
        <f t="shared" si="4"/>
        <v>*</v>
      </c>
    </row>
    <row r="179" spans="1:11" ht="12.75" customHeight="1" x14ac:dyDescent="0.2">
      <c r="A179" s="38"/>
      <c r="B179" s="34"/>
      <c r="C179" s="21"/>
      <c r="D179" s="22" t="s">
        <v>24</v>
      </c>
      <c r="E179" s="1"/>
      <c r="F179" s="26">
        <v>8000</v>
      </c>
      <c r="G179" s="24">
        <f t="shared" ref="G179:H179" si="181">IF(OR(D179=$M$4,D179=$M$5,D179=$M$6,D179=$M$7,D179=$M$8,D179=$M$9,D179=$M$10,D179=$M$11,D179=$M$12,D179=$M$13,D179=$M$14,D179=$M$15,D179=$M$16,D179=$M$17,D179=$M$18,D179=$M$19),1,0)</f>
        <v>1</v>
      </c>
      <c r="H179" s="24">
        <f t="shared" si="181"/>
        <v>0</v>
      </c>
      <c r="I179" s="24">
        <f t="shared" si="2"/>
        <v>1</v>
      </c>
      <c r="J179" s="2">
        <f t="shared" si="3"/>
        <v>8000</v>
      </c>
      <c r="K179" s="25" t="str">
        <f t="shared" si="4"/>
        <v>*</v>
      </c>
    </row>
    <row r="180" spans="1:11" ht="12.75" customHeight="1" x14ac:dyDescent="0.2">
      <c r="A180" s="38"/>
      <c r="B180" s="33" t="s">
        <v>15</v>
      </c>
      <c r="C180" s="21"/>
      <c r="D180" s="22" t="s">
        <v>17</v>
      </c>
      <c r="E180" s="1"/>
      <c r="F180" s="26">
        <v>4000</v>
      </c>
      <c r="G180" s="24">
        <f t="shared" ref="G180:H180" si="182">IF(OR(D180=$M$4,D180=$M$5,D180=$M$6,D180=$M$7,D180=$M$8,D180=$M$9,D180=$M$10,D180=$M$11,D180=$M$12,D180=$M$13,D180=$M$14,D180=$M$15,D180=$M$16,D180=$M$17,D180=$M$18,D180=$M$19),1,0)</f>
        <v>1</v>
      </c>
      <c r="H180" s="24">
        <f t="shared" si="182"/>
        <v>0</v>
      </c>
      <c r="I180" s="24">
        <f t="shared" si="2"/>
        <v>1</v>
      </c>
      <c r="J180" s="2">
        <f t="shared" si="3"/>
        <v>4000</v>
      </c>
      <c r="K180" s="25" t="str">
        <f t="shared" si="4"/>
        <v>*</v>
      </c>
    </row>
    <row r="181" spans="1:11" ht="12.75" customHeight="1" x14ac:dyDescent="0.2">
      <c r="A181" s="38"/>
      <c r="B181" s="34"/>
      <c r="C181" s="21"/>
      <c r="D181" s="22" t="s">
        <v>20</v>
      </c>
      <c r="E181" s="1"/>
      <c r="F181" s="26">
        <v>4000</v>
      </c>
      <c r="G181" s="24">
        <f t="shared" ref="G181:H181" si="183">IF(OR(D181=$M$4,D181=$M$5,D181=$M$6,D181=$M$7,D181=$M$8,D181=$M$9,D181=$M$10,D181=$M$11,D181=$M$12,D181=$M$13,D181=$M$14,D181=$M$15,D181=$M$16,D181=$M$17,D181=$M$18,D181=$M$19),1,0)</f>
        <v>1</v>
      </c>
      <c r="H181" s="24">
        <f t="shared" si="183"/>
        <v>0</v>
      </c>
      <c r="I181" s="24">
        <f t="shared" si="2"/>
        <v>1</v>
      </c>
      <c r="J181" s="2">
        <f t="shared" si="3"/>
        <v>4000</v>
      </c>
      <c r="K181" s="25" t="str">
        <f t="shared" si="4"/>
        <v>*</v>
      </c>
    </row>
    <row r="182" spans="1:11" ht="12.75" customHeight="1" x14ac:dyDescent="0.2">
      <c r="A182" s="38"/>
      <c r="B182" s="33" t="s">
        <v>18</v>
      </c>
      <c r="C182" s="21"/>
      <c r="D182" s="22"/>
      <c r="E182" s="1"/>
      <c r="F182" s="26"/>
      <c r="G182" s="24">
        <f t="shared" ref="G182:H182" si="184">IF(OR(D182=$M$4,D182=$M$5,D182=$M$6,D182=$M$7,D182=$M$8,D182=$M$9,D182=$M$10,D182=$M$11,D182=$M$12,D182=$M$13,D182=$M$14,D182=$M$15,D182=$M$16,D182=$M$17,D182=$M$18,D182=$M$19),1,0)</f>
        <v>0</v>
      </c>
      <c r="H182" s="24">
        <f t="shared" si="184"/>
        <v>0</v>
      </c>
      <c r="I182" s="24">
        <f t="shared" si="2"/>
        <v>0</v>
      </c>
      <c r="J182" s="2">
        <f t="shared" si="3"/>
        <v>0</v>
      </c>
      <c r="K182" s="25" t="str">
        <f t="shared" si="4"/>
        <v/>
      </c>
    </row>
    <row r="183" spans="1:11" ht="12.75" customHeight="1" x14ac:dyDescent="0.2">
      <c r="A183" s="34"/>
      <c r="B183" s="34"/>
      <c r="C183" s="21"/>
      <c r="D183" s="22" t="s">
        <v>14</v>
      </c>
      <c r="E183" s="1"/>
      <c r="F183" s="26">
        <v>12000</v>
      </c>
      <c r="G183" s="24">
        <f t="shared" ref="G183:H183" si="185">IF(OR(D183=$M$4,D183=$M$5,D183=$M$6,D183=$M$7,D183=$M$8,D183=$M$9,D183=$M$10,D183=$M$11,D183=$M$12,D183=$M$13,D183=$M$14,D183=$M$15,D183=$M$16,D183=$M$17,D183=$M$18,D183=$M$19),1,0)</f>
        <v>1</v>
      </c>
      <c r="H183" s="24">
        <f t="shared" si="185"/>
        <v>0</v>
      </c>
      <c r="I183" s="24">
        <f t="shared" si="2"/>
        <v>1</v>
      </c>
      <c r="J183" s="2">
        <f t="shared" si="3"/>
        <v>12000</v>
      </c>
      <c r="K183" s="25" t="str">
        <f t="shared" si="4"/>
        <v>*</v>
      </c>
    </row>
    <row r="184" spans="1:11" ht="12.75" customHeight="1" x14ac:dyDescent="0.2">
      <c r="A184" s="37">
        <f>A178+1</f>
        <v>45747</v>
      </c>
      <c r="B184" s="33" t="s">
        <v>10</v>
      </c>
      <c r="C184" s="21"/>
      <c r="D184" s="22" t="s">
        <v>11</v>
      </c>
      <c r="E184" s="1"/>
      <c r="F184" s="26">
        <v>8000</v>
      </c>
      <c r="G184" s="24">
        <f t="shared" ref="G184:H184" si="186">IF(OR(D184=$M$4,D184=$M$5,D184=$M$6,D184=$M$7,D184=$M$8,D184=$M$9,D184=$M$10,D184=$M$11,D184=$M$12,D184=$M$13,D184=$M$14,D184=$M$15,D184=$M$16,D184=$M$17,D184=$M$18,D184=$M$19),1,0)</f>
        <v>1</v>
      </c>
      <c r="H184" s="24">
        <f t="shared" si="186"/>
        <v>0</v>
      </c>
      <c r="I184" s="24">
        <f t="shared" si="2"/>
        <v>1</v>
      </c>
      <c r="J184" s="2">
        <f t="shared" si="3"/>
        <v>8000</v>
      </c>
      <c r="K184" s="25" t="str">
        <f t="shared" si="4"/>
        <v>*</v>
      </c>
    </row>
    <row r="185" spans="1:11" ht="12.75" customHeight="1" x14ac:dyDescent="0.2">
      <c r="A185" s="38"/>
      <c r="B185" s="34"/>
      <c r="C185" s="21"/>
      <c r="D185" s="22" t="s">
        <v>24</v>
      </c>
      <c r="E185" s="1"/>
      <c r="F185" s="26">
        <v>4000</v>
      </c>
      <c r="G185" s="24">
        <f t="shared" ref="G185:H185" si="187">IF(OR(D185=$M$4,D185=$M$5,D185=$M$6,D185=$M$7,D185=$M$8,D185=$M$9,D185=$M$10,D185=$M$11,D185=$M$12,D185=$M$13,D185=$M$14,D185=$M$15,D185=$M$16,D185=$M$17,D185=$M$18,D185=$M$19),1,0)</f>
        <v>1</v>
      </c>
      <c r="H185" s="24">
        <f t="shared" si="187"/>
        <v>0</v>
      </c>
      <c r="I185" s="24">
        <f t="shared" si="2"/>
        <v>1</v>
      </c>
      <c r="J185" s="2">
        <f t="shared" si="3"/>
        <v>4000</v>
      </c>
      <c r="K185" s="25" t="str">
        <f t="shared" si="4"/>
        <v>*</v>
      </c>
    </row>
    <row r="186" spans="1:11" ht="12.75" customHeight="1" x14ac:dyDescent="0.2">
      <c r="A186" s="38"/>
      <c r="B186" s="33" t="s">
        <v>15</v>
      </c>
      <c r="C186" s="21"/>
      <c r="D186" s="22" t="s">
        <v>14</v>
      </c>
      <c r="E186" s="1"/>
      <c r="F186" s="26">
        <v>8000</v>
      </c>
      <c r="G186" s="24">
        <f t="shared" ref="G186:H186" si="188">IF(OR(D186=$M$4,D186=$M$5,D186=$M$6,D186=$M$7,D186=$M$8,D186=$M$9,D186=$M$10,D186=$M$11,D186=$M$12,D186=$M$13,D186=$M$14,D186=$M$15,D186=$M$16,D186=$M$17,D186=$M$18,D186=$M$19),1,0)</f>
        <v>1</v>
      </c>
      <c r="H186" s="24">
        <f t="shared" si="188"/>
        <v>0</v>
      </c>
      <c r="I186" s="24">
        <f t="shared" si="2"/>
        <v>1</v>
      </c>
      <c r="J186" s="2">
        <f t="shared" si="3"/>
        <v>8000</v>
      </c>
      <c r="K186" s="25" t="str">
        <f t="shared" si="4"/>
        <v>*</v>
      </c>
    </row>
    <row r="187" spans="1:11" ht="12.75" customHeight="1" x14ac:dyDescent="0.2">
      <c r="A187" s="38"/>
      <c r="B187" s="34"/>
      <c r="C187" s="21"/>
      <c r="D187" s="22" t="s">
        <v>17</v>
      </c>
      <c r="E187" s="1"/>
      <c r="F187" s="26">
        <v>12000</v>
      </c>
      <c r="G187" s="24">
        <f t="shared" ref="G187:H187" si="189">IF(OR(D187=$M$4,D187=$M$5,D187=$M$6,D187=$M$7,D187=$M$8,D187=$M$9,D187=$M$10,D187=$M$11,D187=$M$12,D187=$M$13,D187=$M$14,D187=$M$15,D187=$M$16,D187=$M$17,D187=$M$18,D187=$M$19),1,0)</f>
        <v>1</v>
      </c>
      <c r="H187" s="24">
        <f t="shared" si="189"/>
        <v>0</v>
      </c>
      <c r="I187" s="24">
        <f t="shared" si="2"/>
        <v>1</v>
      </c>
      <c r="J187" s="2">
        <f t="shared" si="3"/>
        <v>12000</v>
      </c>
      <c r="K187" s="25" t="str">
        <f t="shared" si="4"/>
        <v>*</v>
      </c>
    </row>
    <row r="188" spans="1:11" ht="12.75" customHeight="1" x14ac:dyDescent="0.2">
      <c r="A188" s="38"/>
      <c r="B188" s="33" t="s">
        <v>18</v>
      </c>
      <c r="C188" s="21"/>
      <c r="D188" s="22" t="s">
        <v>11</v>
      </c>
      <c r="E188" s="1"/>
      <c r="F188" s="26">
        <v>4000</v>
      </c>
      <c r="G188" s="24">
        <f t="shared" ref="G188:H188" si="190">IF(OR(D188=$M$4,D188=$M$5,D188=$M$6,D188=$M$7,D188=$M$8,D188=$M$9,D188=$M$10,D188=$M$11,D188=$M$12,D188=$M$13,D188=$M$14,D188=$M$15,D188=$M$16,D188=$M$17,D188=$M$18,D188=$M$19),1,0)</f>
        <v>1</v>
      </c>
      <c r="H188" s="24">
        <f t="shared" si="190"/>
        <v>0</v>
      </c>
      <c r="I188" s="24">
        <f t="shared" si="2"/>
        <v>1</v>
      </c>
      <c r="J188" s="2">
        <f t="shared" si="3"/>
        <v>4000</v>
      </c>
      <c r="K188" s="25" t="str">
        <f t="shared" si="4"/>
        <v>*</v>
      </c>
    </row>
    <row r="189" spans="1:11" ht="12.75" customHeight="1" x14ac:dyDescent="0.2">
      <c r="A189" s="34"/>
      <c r="B189" s="34"/>
      <c r="C189" s="21"/>
      <c r="D189" s="22" t="s">
        <v>24</v>
      </c>
      <c r="E189" s="1"/>
      <c r="F189" s="26">
        <v>8000</v>
      </c>
      <c r="G189" s="24">
        <f t="shared" ref="G189:H189" si="191">IF(OR(D189=$M$4,D189=$M$5,D189=$M$6,D189=$M$7,D189=$M$8,D189=$M$9,D189=$M$10,D189=$M$11,D189=$M$12,D189=$M$13,D189=$M$14,D189=$M$15,D189=$M$16,D189=$M$17,D189=$M$18,D189=$M$19),1,0)</f>
        <v>1</v>
      </c>
      <c r="H189" s="24">
        <f t="shared" si="191"/>
        <v>0</v>
      </c>
      <c r="I189" s="24">
        <f t="shared" si="2"/>
        <v>1</v>
      </c>
      <c r="J189" s="2">
        <f t="shared" si="3"/>
        <v>8000</v>
      </c>
      <c r="K189" s="25" t="str">
        <f t="shared" si="4"/>
        <v>*</v>
      </c>
    </row>
    <row r="190" spans="1:11" ht="12.75" customHeight="1" x14ac:dyDescent="0.2">
      <c r="F190" s="31"/>
      <c r="J190" s="32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3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000"/>
  <sheetViews>
    <sheetView workbookViewId="0"/>
  </sheetViews>
  <sheetFormatPr defaultColWidth="12.5703125" defaultRowHeight="15" customHeight="1" x14ac:dyDescent="0.2"/>
  <cols>
    <col min="1" max="256" width="8.5703125" customWidth="1"/>
  </cols>
  <sheetData>
    <row r="1" spans="1:256" ht="12.75" customHeight="1" x14ac:dyDescent="0.2">
      <c r="A1" s="25" t="e">
        <f>IF(#REF!,"AAAAABj6+wA=",0)</f>
        <v>#REF!</v>
      </c>
      <c r="B1" s="25" t="e">
        <f>AND(#REF!,"AAAAABj6+wE=")</f>
        <v>#REF!</v>
      </c>
      <c r="C1" s="25" t="e">
        <f>AND(#REF!,"AAAAABj6+wI=")</f>
        <v>#REF!</v>
      </c>
      <c r="D1" s="25" t="e">
        <f>AND(#REF!,"AAAAABj6+wM=")</f>
        <v>#REF!</v>
      </c>
      <c r="E1" s="25" t="e">
        <f>AND(#REF!,"AAAAABj6+wQ=")</f>
        <v>#REF!</v>
      </c>
      <c r="F1" s="25" t="e">
        <f>AND(#REF!,"AAAAABj6+wU=")</f>
        <v>#REF!</v>
      </c>
      <c r="G1" s="25" t="e">
        <f>AND(#REF!,"AAAAABj6+wY=")</f>
        <v>#REF!</v>
      </c>
      <c r="H1" s="25" t="e">
        <f>AND(#REF!,"AAAAABj6+wc=")</f>
        <v>#REF!</v>
      </c>
      <c r="I1" s="25" t="e">
        <f>AND(#REF!,"AAAAABj6+wg=")</f>
        <v>#REF!</v>
      </c>
      <c r="J1" s="25" t="e">
        <f>AND(#REF!,"AAAAABj6+wk=")</f>
        <v>#REF!</v>
      </c>
      <c r="K1" s="25" t="e">
        <f>AND(#REF!,"AAAAABj6+wo=")</f>
        <v>#REF!</v>
      </c>
      <c r="L1" s="25" t="e">
        <f>AND(#REF!,"AAAAABj6+ws=")</f>
        <v>#REF!</v>
      </c>
      <c r="M1" s="25" t="e">
        <f>AND(#REF!,"AAAAABj6+ww=")</f>
        <v>#REF!</v>
      </c>
      <c r="N1" s="25" t="e">
        <f>AND(#REF!,"AAAAABj6+w0=")</f>
        <v>#REF!</v>
      </c>
      <c r="O1" s="25" t="e">
        <f>AND(#REF!,"AAAAABj6+w4=")</f>
        <v>#REF!</v>
      </c>
      <c r="P1" s="25" t="e">
        <f>AND(#REF!,"AAAAABj6+w8=")</f>
        <v>#REF!</v>
      </c>
      <c r="Q1" s="25" t="e">
        <f>AND(#REF!,"AAAAABj6+xA=")</f>
        <v>#REF!</v>
      </c>
      <c r="R1" s="25" t="e">
        <f>AND(#REF!,"AAAAABj6+xE=")</f>
        <v>#REF!</v>
      </c>
      <c r="S1" s="25" t="e">
        <f>AND(#REF!,"AAAAABj6+xI=")</f>
        <v>#REF!</v>
      </c>
      <c r="T1" s="25" t="e">
        <f>AND(#REF!,"AAAAABj6+xM=")</f>
        <v>#REF!</v>
      </c>
      <c r="U1" s="25" t="e">
        <f>AND(#REF!,"AAAAABj6+xQ=")</f>
        <v>#REF!</v>
      </c>
      <c r="V1" s="25" t="e">
        <f>AND(#REF!,"AAAAABj6+xU=")</f>
        <v>#REF!</v>
      </c>
      <c r="W1" s="25" t="e">
        <f>IF(#REF!,"AAAAABj6+xY=",0)</f>
        <v>#REF!</v>
      </c>
      <c r="X1" s="25" t="e">
        <f>AND(#REF!,"AAAAABj6+xc=")</f>
        <v>#REF!</v>
      </c>
      <c r="Y1" s="25" t="e">
        <f>AND(#REF!,"AAAAABj6+xg=")</f>
        <v>#REF!</v>
      </c>
      <c r="Z1" s="25" t="e">
        <f>AND(#REF!,"AAAAABj6+xk=")</f>
        <v>#REF!</v>
      </c>
      <c r="AA1" s="25" t="e">
        <f>AND(#REF!,"AAAAABj6+xo=")</f>
        <v>#REF!</v>
      </c>
      <c r="AB1" s="25" t="e">
        <f>AND(#REF!,"AAAAABj6+xs=")</f>
        <v>#REF!</v>
      </c>
      <c r="AC1" s="25" t="e">
        <f>AND(#REF!,"AAAAABj6+xw=")</f>
        <v>#REF!</v>
      </c>
      <c r="AD1" s="25" t="e">
        <f>AND(#REF!,"AAAAABj6+x0=")</f>
        <v>#REF!</v>
      </c>
      <c r="AE1" s="25" t="e">
        <f>AND(#REF!,"AAAAABj6+x4=")</f>
        <v>#REF!</v>
      </c>
      <c r="AF1" s="25" t="e">
        <f>AND(#REF!,"AAAAABj6+x8=")</f>
        <v>#REF!</v>
      </c>
      <c r="AG1" s="25" t="e">
        <f>AND(#REF!,"AAAAABj6+yA=")</f>
        <v>#REF!</v>
      </c>
      <c r="AH1" s="25" t="e">
        <f>AND(#REF!,"AAAAABj6+yE=")</f>
        <v>#REF!</v>
      </c>
      <c r="AI1" s="25" t="e">
        <f>AND(#REF!,"AAAAABj6+yI=")</f>
        <v>#REF!</v>
      </c>
      <c r="AJ1" s="25" t="e">
        <f>AND(#REF!,"AAAAABj6+yM=")</f>
        <v>#REF!</v>
      </c>
      <c r="AK1" s="25" t="e">
        <f>AND(#REF!,"AAAAABj6+yQ=")</f>
        <v>#REF!</v>
      </c>
      <c r="AL1" s="25" t="e">
        <f>AND(#REF!,"AAAAABj6+yU=")</f>
        <v>#REF!</v>
      </c>
      <c r="AM1" s="25" t="e">
        <f>AND(#REF!,"AAAAABj6+yY=")</f>
        <v>#REF!</v>
      </c>
      <c r="AN1" s="25" t="e">
        <f>AND(#REF!,"AAAAABj6+yc=")</f>
        <v>#REF!</v>
      </c>
      <c r="AO1" s="25" t="e">
        <f>AND(#REF!,"AAAAABj6+yg=")</f>
        <v>#REF!</v>
      </c>
      <c r="AP1" s="25" t="e">
        <f>AND(#REF!,"AAAAABj6+yk=")</f>
        <v>#REF!</v>
      </c>
      <c r="AQ1" s="25" t="e">
        <f>AND(#REF!,"AAAAABj6+yo=")</f>
        <v>#REF!</v>
      </c>
      <c r="AR1" s="25" t="e">
        <f>AND(#REF!,"AAAAABj6+ys=")</f>
        <v>#REF!</v>
      </c>
      <c r="AS1" s="25" t="e">
        <f>IF(#REF!,"AAAAABj6+yw=",0)</f>
        <v>#REF!</v>
      </c>
      <c r="AT1" s="25" t="e">
        <f>AND(#REF!,"AAAAABj6+y0=")</f>
        <v>#REF!</v>
      </c>
      <c r="AU1" s="25" t="e">
        <f>AND(#REF!,"AAAAABj6+y4=")</f>
        <v>#REF!</v>
      </c>
      <c r="AV1" s="25" t="e">
        <f>AND(#REF!,"AAAAABj6+y8=")</f>
        <v>#REF!</v>
      </c>
      <c r="AW1" s="25" t="e">
        <f>AND(#REF!,"AAAAABj6+zA=")</f>
        <v>#REF!</v>
      </c>
      <c r="AX1" s="25" t="e">
        <f>AND(#REF!,"AAAAABj6+zE=")</f>
        <v>#REF!</v>
      </c>
      <c r="AY1" s="25" t="e">
        <f>AND(#REF!,"AAAAABj6+zI=")</f>
        <v>#REF!</v>
      </c>
      <c r="AZ1" s="25" t="e">
        <f>AND(#REF!,"AAAAABj6+zM=")</f>
        <v>#REF!</v>
      </c>
      <c r="BA1" s="25" t="e">
        <f>AND(#REF!,"AAAAABj6+zQ=")</f>
        <v>#REF!</v>
      </c>
      <c r="BB1" s="25" t="e">
        <f>AND(#REF!,"AAAAABj6+zU=")</f>
        <v>#REF!</v>
      </c>
      <c r="BC1" s="25" t="e">
        <f>AND(#REF!,"AAAAABj6+zY=")</f>
        <v>#REF!</v>
      </c>
      <c r="BD1" s="25" t="e">
        <f>AND(#REF!,"AAAAABj6+zc=")</f>
        <v>#REF!</v>
      </c>
      <c r="BE1" s="25" t="e">
        <f>AND(#REF!,"AAAAABj6+zg=")</f>
        <v>#REF!</v>
      </c>
      <c r="BF1" s="25" t="e">
        <f>AND(#REF!,"AAAAABj6+zk=")</f>
        <v>#REF!</v>
      </c>
      <c r="BG1" s="25" t="e">
        <f>AND(#REF!,"AAAAABj6+zo=")</f>
        <v>#REF!</v>
      </c>
      <c r="BH1" s="25" t="e">
        <f>AND(#REF!,"AAAAABj6+zs=")</f>
        <v>#REF!</v>
      </c>
      <c r="BI1" s="25" t="e">
        <f>AND(#REF!,"AAAAABj6+zw=")</f>
        <v>#REF!</v>
      </c>
      <c r="BJ1" s="25" t="e">
        <f>AND(#REF!,"AAAAABj6+z0=")</f>
        <v>#REF!</v>
      </c>
      <c r="BK1" s="25" t="e">
        <f>AND(#REF!,"AAAAABj6+z4=")</f>
        <v>#REF!</v>
      </c>
      <c r="BL1" s="25" t="e">
        <f>AND(#REF!,"AAAAABj6+z8=")</f>
        <v>#REF!</v>
      </c>
      <c r="BM1" s="25" t="e">
        <f>AND(#REF!,"AAAAABj6+0A=")</f>
        <v>#REF!</v>
      </c>
      <c r="BN1" s="25" t="e">
        <f>AND(#REF!,"AAAAABj6+0E=")</f>
        <v>#REF!</v>
      </c>
      <c r="BO1" s="25" t="e">
        <f>IF(#REF!,"AAAAABj6+0I=",0)</f>
        <v>#REF!</v>
      </c>
      <c r="BP1" s="25" t="e">
        <f>AND(#REF!,"AAAAABj6+0M=")</f>
        <v>#REF!</v>
      </c>
      <c r="BQ1" s="25" t="e">
        <f>AND(#REF!,"AAAAABj6+0Q=")</f>
        <v>#REF!</v>
      </c>
      <c r="BR1" s="25" t="e">
        <f>AND(#REF!,"AAAAABj6+0U=")</f>
        <v>#REF!</v>
      </c>
      <c r="BS1" s="25" t="e">
        <f>AND(#REF!,"AAAAABj6+0Y=")</f>
        <v>#REF!</v>
      </c>
      <c r="BT1" s="25" t="e">
        <f>AND(#REF!,"AAAAABj6+0c=")</f>
        <v>#REF!</v>
      </c>
      <c r="BU1" s="25" t="e">
        <f>AND(#REF!,"AAAAABj6+0g=")</f>
        <v>#REF!</v>
      </c>
      <c r="BV1" s="25" t="e">
        <f>AND(#REF!,"AAAAABj6+0k=")</f>
        <v>#REF!</v>
      </c>
      <c r="BW1" s="25" t="e">
        <f>AND(#REF!,"AAAAABj6+0o=")</f>
        <v>#REF!</v>
      </c>
      <c r="BX1" s="25" t="e">
        <f>AND(#REF!,"AAAAABj6+0s=")</f>
        <v>#REF!</v>
      </c>
      <c r="BY1" s="25" t="e">
        <f>AND(#REF!,"AAAAABj6+0w=")</f>
        <v>#REF!</v>
      </c>
      <c r="BZ1" s="25" t="e">
        <f>AND(#REF!,"AAAAABj6+00=")</f>
        <v>#REF!</v>
      </c>
      <c r="CA1" s="25" t="e">
        <f>AND(#REF!,"AAAAABj6+04=")</f>
        <v>#REF!</v>
      </c>
      <c r="CB1" s="25" t="e">
        <f>AND(#REF!,"AAAAABj6+08=")</f>
        <v>#REF!</v>
      </c>
      <c r="CC1" s="25" t="e">
        <f>AND(#REF!,"AAAAABj6+1A=")</f>
        <v>#REF!</v>
      </c>
      <c r="CD1" s="25" t="e">
        <f>AND(#REF!,"AAAAABj6+1E=")</f>
        <v>#REF!</v>
      </c>
      <c r="CE1" s="25" t="e">
        <f>AND(#REF!,"AAAAABj6+1I=")</f>
        <v>#REF!</v>
      </c>
      <c r="CF1" s="25" t="e">
        <f>AND(#REF!,"AAAAABj6+1M=")</f>
        <v>#REF!</v>
      </c>
      <c r="CG1" s="25" t="e">
        <f>AND(#REF!,"AAAAABj6+1Q=")</f>
        <v>#REF!</v>
      </c>
      <c r="CH1" s="25" t="e">
        <f>AND(#REF!,"AAAAABj6+1U=")</f>
        <v>#REF!</v>
      </c>
      <c r="CI1" s="25" t="e">
        <f>AND(#REF!,"AAAAABj6+1Y=")</f>
        <v>#REF!</v>
      </c>
      <c r="CJ1" s="25" t="e">
        <f>AND(#REF!,"AAAAABj6+1c=")</f>
        <v>#REF!</v>
      </c>
      <c r="CK1" s="25" t="e">
        <f>IF(#REF!,"AAAAABj6+1g=",0)</f>
        <v>#REF!</v>
      </c>
      <c r="CL1" s="25" t="e">
        <f>AND(#REF!,"AAAAABj6+1k=")</f>
        <v>#REF!</v>
      </c>
      <c r="CM1" s="25" t="e">
        <f>AND(#REF!,"AAAAABj6+1o=")</f>
        <v>#REF!</v>
      </c>
      <c r="CN1" s="25" t="e">
        <f>AND(#REF!,"AAAAABj6+1s=")</f>
        <v>#REF!</v>
      </c>
      <c r="CO1" s="25" t="e">
        <f>AND(#REF!,"AAAAABj6+1w=")</f>
        <v>#REF!</v>
      </c>
      <c r="CP1" s="25" t="e">
        <f>AND(#REF!,"AAAAABj6+10=")</f>
        <v>#REF!</v>
      </c>
      <c r="CQ1" s="25" t="e">
        <f>AND(#REF!,"AAAAABj6+14=")</f>
        <v>#REF!</v>
      </c>
      <c r="CR1" s="25" t="e">
        <f>AND(#REF!,"AAAAABj6+18=")</f>
        <v>#REF!</v>
      </c>
      <c r="CS1" s="25" t="e">
        <f>AND(#REF!,"AAAAABj6+2A=")</f>
        <v>#REF!</v>
      </c>
      <c r="CT1" s="25" t="e">
        <f>AND(#REF!,"AAAAABj6+2E=")</f>
        <v>#REF!</v>
      </c>
      <c r="CU1" s="25" t="e">
        <f>AND(#REF!,"AAAAABj6+2I=")</f>
        <v>#REF!</v>
      </c>
      <c r="CV1" s="25" t="e">
        <f>AND(#REF!,"AAAAABj6+2M=")</f>
        <v>#REF!</v>
      </c>
      <c r="CW1" s="25" t="e">
        <f>AND(#REF!,"AAAAABj6+2Q=")</f>
        <v>#REF!</v>
      </c>
      <c r="CX1" s="25" t="e">
        <f>AND(#REF!,"AAAAABj6+2U=")</f>
        <v>#REF!</v>
      </c>
      <c r="CY1" s="25" t="e">
        <f>AND(#REF!,"AAAAABj6+2Y=")</f>
        <v>#REF!</v>
      </c>
      <c r="CZ1" s="25" t="e">
        <f>AND(#REF!,"AAAAABj6+2c=")</f>
        <v>#REF!</v>
      </c>
      <c r="DA1" s="25" t="e">
        <f>AND(#REF!,"AAAAABj6+2g=")</f>
        <v>#REF!</v>
      </c>
      <c r="DB1" s="25" t="e">
        <f>AND(#REF!,"AAAAABj6+2k=")</f>
        <v>#REF!</v>
      </c>
      <c r="DC1" s="25" t="e">
        <f>AND(#REF!,"AAAAABj6+2o=")</f>
        <v>#REF!</v>
      </c>
      <c r="DD1" s="25" t="e">
        <f>AND(#REF!,"AAAAABj6+2s=")</f>
        <v>#REF!</v>
      </c>
      <c r="DE1" s="25" t="e">
        <f>AND(#REF!,"AAAAABj6+2w=")</f>
        <v>#REF!</v>
      </c>
      <c r="DF1" s="25" t="e">
        <f>AND(#REF!,"AAAAABj6+20=")</f>
        <v>#REF!</v>
      </c>
      <c r="DG1" s="25" t="e">
        <f>IF(#REF!,"AAAAABj6+24=",0)</f>
        <v>#REF!</v>
      </c>
      <c r="DH1" s="25" t="e">
        <f>AND(#REF!,"AAAAABj6+28=")</f>
        <v>#REF!</v>
      </c>
      <c r="DI1" s="25" t="e">
        <f>AND(#REF!,"AAAAABj6+3A=")</f>
        <v>#REF!</v>
      </c>
      <c r="DJ1" s="25" t="e">
        <f>AND(#REF!,"AAAAABj6+3E=")</f>
        <v>#REF!</v>
      </c>
      <c r="DK1" s="25" t="e">
        <f>AND(#REF!,"AAAAABj6+3I=")</f>
        <v>#REF!</v>
      </c>
      <c r="DL1" s="25" t="e">
        <f>AND(#REF!,"AAAAABj6+3M=")</f>
        <v>#REF!</v>
      </c>
      <c r="DM1" s="25" t="e">
        <f>AND(#REF!,"AAAAABj6+3Q=")</f>
        <v>#REF!</v>
      </c>
      <c r="DN1" s="25" t="e">
        <f>AND(#REF!,"AAAAABj6+3U=")</f>
        <v>#REF!</v>
      </c>
      <c r="DO1" s="25" t="e">
        <f>AND(#REF!,"AAAAABj6+3Y=")</f>
        <v>#REF!</v>
      </c>
      <c r="DP1" s="25" t="e">
        <f>AND(#REF!,"AAAAABj6+3c=")</f>
        <v>#REF!</v>
      </c>
      <c r="DQ1" s="25" t="e">
        <f>AND(#REF!,"AAAAABj6+3g=")</f>
        <v>#REF!</v>
      </c>
      <c r="DR1" s="25" t="e">
        <f>AND(#REF!,"AAAAABj6+3k=")</f>
        <v>#REF!</v>
      </c>
      <c r="DS1" s="25" t="e">
        <f>AND(#REF!,"AAAAABj6+3o=")</f>
        <v>#REF!</v>
      </c>
      <c r="DT1" s="25" t="e">
        <f>AND(#REF!,"AAAAABj6+3s=")</f>
        <v>#REF!</v>
      </c>
      <c r="DU1" s="25" t="e">
        <f>AND(#REF!,"AAAAABj6+3w=")</f>
        <v>#REF!</v>
      </c>
      <c r="DV1" s="25" t="e">
        <f>AND(#REF!,"AAAAABj6+30=")</f>
        <v>#REF!</v>
      </c>
      <c r="DW1" s="25" t="e">
        <f>AND(#REF!,"AAAAABj6+34=")</f>
        <v>#REF!</v>
      </c>
      <c r="DX1" s="25" t="e">
        <f>AND(#REF!,"AAAAABj6+38=")</f>
        <v>#REF!</v>
      </c>
      <c r="DY1" s="25" t="e">
        <f>AND(#REF!,"AAAAABj6+4A=")</f>
        <v>#REF!</v>
      </c>
      <c r="DZ1" s="25" t="e">
        <f>AND(#REF!,"AAAAABj6+4E=")</f>
        <v>#REF!</v>
      </c>
      <c r="EA1" s="25" t="e">
        <f>AND(#REF!,"AAAAABj6+4I=")</f>
        <v>#REF!</v>
      </c>
      <c r="EB1" s="25" t="e">
        <f>AND(#REF!,"AAAAABj6+4M=")</f>
        <v>#REF!</v>
      </c>
      <c r="EC1" s="25" t="e">
        <f>IF(#REF!,"AAAAABj6+4Q=",0)</f>
        <v>#REF!</v>
      </c>
      <c r="ED1" s="25" t="e">
        <f>AND(#REF!,"AAAAABj6+4U=")</f>
        <v>#REF!</v>
      </c>
      <c r="EE1" s="25" t="e">
        <f>AND(#REF!,"AAAAABj6+4Y=")</f>
        <v>#REF!</v>
      </c>
      <c r="EF1" s="25" t="e">
        <f>AND(#REF!,"AAAAABj6+4c=")</f>
        <v>#REF!</v>
      </c>
      <c r="EG1" s="25" t="e">
        <f>AND(#REF!,"AAAAABj6+4g=")</f>
        <v>#REF!</v>
      </c>
      <c r="EH1" s="25" t="e">
        <f>AND(#REF!,"AAAAABj6+4k=")</f>
        <v>#REF!</v>
      </c>
      <c r="EI1" s="25" t="e">
        <f>AND(#REF!,"AAAAABj6+4o=")</f>
        <v>#REF!</v>
      </c>
      <c r="EJ1" s="25" t="e">
        <f>AND(#REF!,"AAAAABj6+4s=")</f>
        <v>#REF!</v>
      </c>
      <c r="EK1" s="25" t="e">
        <f>AND(#REF!,"AAAAABj6+4w=")</f>
        <v>#REF!</v>
      </c>
      <c r="EL1" s="25" t="e">
        <f>AND(#REF!,"AAAAABj6+40=")</f>
        <v>#REF!</v>
      </c>
      <c r="EM1" s="25" t="e">
        <f>AND(#REF!,"AAAAABj6+44=")</f>
        <v>#REF!</v>
      </c>
      <c r="EN1" s="25" t="e">
        <f>AND(#REF!,"AAAAABj6+48=")</f>
        <v>#REF!</v>
      </c>
      <c r="EO1" s="25" t="e">
        <f>AND(#REF!,"AAAAABj6+5A=")</f>
        <v>#REF!</v>
      </c>
      <c r="EP1" s="25" t="e">
        <f>AND(#REF!,"AAAAABj6+5E=")</f>
        <v>#REF!</v>
      </c>
      <c r="EQ1" s="25" t="e">
        <f>AND(#REF!,"AAAAABj6+5I=")</f>
        <v>#REF!</v>
      </c>
      <c r="ER1" s="25" t="e">
        <f>AND(#REF!,"AAAAABj6+5M=")</f>
        <v>#REF!</v>
      </c>
      <c r="ES1" s="25" t="e">
        <f>AND(#REF!,"AAAAABj6+5Q=")</f>
        <v>#REF!</v>
      </c>
      <c r="ET1" s="25" t="e">
        <f>AND(#REF!,"AAAAABj6+5U=")</f>
        <v>#REF!</v>
      </c>
      <c r="EU1" s="25" t="e">
        <f>AND(#REF!,"AAAAABj6+5Y=")</f>
        <v>#REF!</v>
      </c>
      <c r="EV1" s="25" t="e">
        <f>AND(#REF!,"AAAAABj6+5c=")</f>
        <v>#REF!</v>
      </c>
      <c r="EW1" s="25" t="e">
        <f>AND(#REF!,"AAAAABj6+5g=")</f>
        <v>#REF!</v>
      </c>
      <c r="EX1" s="25" t="e">
        <f>AND(#REF!,"AAAAABj6+5k=")</f>
        <v>#REF!</v>
      </c>
      <c r="EY1" s="25" t="e">
        <f>IF(#REF!,"AAAAABj6+5o=",0)</f>
        <v>#REF!</v>
      </c>
      <c r="EZ1" s="25" t="e">
        <f>AND(#REF!,"AAAAABj6+5s=")</f>
        <v>#REF!</v>
      </c>
      <c r="FA1" s="25" t="e">
        <f>AND(#REF!,"AAAAABj6+5w=")</f>
        <v>#REF!</v>
      </c>
      <c r="FB1" s="25" t="e">
        <f>AND(#REF!,"AAAAABj6+50=")</f>
        <v>#REF!</v>
      </c>
      <c r="FC1" s="25" t="e">
        <f>AND(#REF!,"AAAAABj6+54=")</f>
        <v>#REF!</v>
      </c>
      <c r="FD1" s="25" t="e">
        <f>AND(#REF!,"AAAAABj6+58=")</f>
        <v>#REF!</v>
      </c>
      <c r="FE1" s="25" t="e">
        <f>AND(#REF!,"AAAAABj6+6A=")</f>
        <v>#REF!</v>
      </c>
      <c r="FF1" s="25" t="e">
        <f>AND(#REF!,"AAAAABj6+6E=")</f>
        <v>#REF!</v>
      </c>
      <c r="FG1" s="25" t="e">
        <f>AND(#REF!,"AAAAABj6+6I=")</f>
        <v>#REF!</v>
      </c>
      <c r="FH1" s="25" t="e">
        <f>AND(#REF!,"AAAAABj6+6M=")</f>
        <v>#REF!</v>
      </c>
      <c r="FI1" s="25" t="e">
        <f>AND(#REF!,"AAAAABj6+6Q=")</f>
        <v>#REF!</v>
      </c>
      <c r="FJ1" s="25" t="e">
        <f>AND(#REF!,"AAAAABj6+6U=")</f>
        <v>#REF!</v>
      </c>
      <c r="FK1" s="25" t="e">
        <f>AND(#REF!,"AAAAABj6+6Y=")</f>
        <v>#REF!</v>
      </c>
      <c r="FL1" s="25" t="e">
        <f>AND(#REF!,"AAAAABj6+6c=")</f>
        <v>#REF!</v>
      </c>
      <c r="FM1" s="25" t="e">
        <f>AND(#REF!,"AAAAABj6+6g=")</f>
        <v>#REF!</v>
      </c>
      <c r="FN1" s="25" t="e">
        <f>AND(#REF!,"AAAAABj6+6k=")</f>
        <v>#REF!</v>
      </c>
      <c r="FO1" s="25" t="e">
        <f>AND(#REF!,"AAAAABj6+6o=")</f>
        <v>#REF!</v>
      </c>
      <c r="FP1" s="25" t="e">
        <f>AND(#REF!,"AAAAABj6+6s=")</f>
        <v>#REF!</v>
      </c>
      <c r="FQ1" s="25" t="e">
        <f>AND(#REF!,"AAAAABj6+6w=")</f>
        <v>#REF!</v>
      </c>
      <c r="FR1" s="25" t="e">
        <f>AND(#REF!,"AAAAABj6+60=")</f>
        <v>#REF!</v>
      </c>
      <c r="FS1" s="25" t="e">
        <f>AND(#REF!,"AAAAABj6+64=")</f>
        <v>#REF!</v>
      </c>
      <c r="FT1" s="25" t="e">
        <f>AND(#REF!,"AAAAABj6+68=")</f>
        <v>#REF!</v>
      </c>
      <c r="FU1" s="25" t="e">
        <f>IF(#REF!,"AAAAABj6+7A=",0)</f>
        <v>#REF!</v>
      </c>
      <c r="FV1" s="25" t="e">
        <f>AND(#REF!,"AAAAABj6+7E=")</f>
        <v>#REF!</v>
      </c>
      <c r="FW1" s="25" t="e">
        <f>AND(#REF!,"AAAAABj6+7I=")</f>
        <v>#REF!</v>
      </c>
      <c r="FX1" s="25" t="e">
        <f>AND(#REF!,"AAAAABj6+7M=")</f>
        <v>#REF!</v>
      </c>
      <c r="FY1" s="25" t="e">
        <f>AND(#REF!,"AAAAABj6+7Q=")</f>
        <v>#REF!</v>
      </c>
      <c r="FZ1" s="25" t="e">
        <f>AND(#REF!,"AAAAABj6+7U=")</f>
        <v>#REF!</v>
      </c>
      <c r="GA1" s="25" t="e">
        <f>AND(#REF!,"AAAAABj6+7Y=")</f>
        <v>#REF!</v>
      </c>
      <c r="GB1" s="25" t="e">
        <f>AND(#REF!,"AAAAABj6+7c=")</f>
        <v>#REF!</v>
      </c>
      <c r="GC1" s="25" t="e">
        <f>AND(#REF!,"AAAAABj6+7g=")</f>
        <v>#REF!</v>
      </c>
      <c r="GD1" s="25" t="e">
        <f>AND(#REF!,"AAAAABj6+7k=")</f>
        <v>#REF!</v>
      </c>
      <c r="GE1" s="25" t="e">
        <f>AND(#REF!,"AAAAABj6+7o=")</f>
        <v>#REF!</v>
      </c>
      <c r="GF1" s="25" t="e">
        <f>AND(#REF!,"AAAAABj6+7s=")</f>
        <v>#REF!</v>
      </c>
      <c r="GG1" s="25" t="e">
        <f>AND(#REF!,"AAAAABj6+7w=")</f>
        <v>#REF!</v>
      </c>
      <c r="GH1" s="25" t="e">
        <f>AND(#REF!,"AAAAABj6+70=")</f>
        <v>#REF!</v>
      </c>
      <c r="GI1" s="25" t="e">
        <f>AND(#REF!,"AAAAABj6+74=")</f>
        <v>#REF!</v>
      </c>
      <c r="GJ1" s="25" t="e">
        <f>AND(#REF!,"AAAAABj6+78=")</f>
        <v>#REF!</v>
      </c>
      <c r="GK1" s="25" t="e">
        <f>AND(#REF!,"AAAAABj6+8A=")</f>
        <v>#REF!</v>
      </c>
      <c r="GL1" s="25" t="e">
        <f>AND(#REF!,"AAAAABj6+8E=")</f>
        <v>#REF!</v>
      </c>
      <c r="GM1" s="25" t="e">
        <f>AND(#REF!,"AAAAABj6+8I=")</f>
        <v>#REF!</v>
      </c>
      <c r="GN1" s="25" t="e">
        <f>AND(#REF!,"AAAAABj6+8M=")</f>
        <v>#REF!</v>
      </c>
      <c r="GO1" s="25" t="e">
        <f>AND(#REF!,"AAAAABj6+8Q=")</f>
        <v>#REF!</v>
      </c>
      <c r="GP1" s="25" t="e">
        <f>AND(#REF!,"AAAAABj6+8U=")</f>
        <v>#REF!</v>
      </c>
      <c r="GQ1" s="25" t="e">
        <f>IF(#REF!,"AAAAABj6+8Y=",0)</f>
        <v>#REF!</v>
      </c>
      <c r="GR1" s="25" t="e">
        <f>AND(#REF!,"AAAAABj6+8c=")</f>
        <v>#REF!</v>
      </c>
      <c r="GS1" s="25" t="e">
        <f>AND(#REF!,"AAAAABj6+8g=")</f>
        <v>#REF!</v>
      </c>
      <c r="GT1" s="25" t="e">
        <f>AND(#REF!,"AAAAABj6+8k=")</f>
        <v>#REF!</v>
      </c>
      <c r="GU1" s="25" t="e">
        <f>AND(#REF!,"AAAAABj6+8o=")</f>
        <v>#REF!</v>
      </c>
      <c r="GV1" s="25" t="e">
        <f>AND(#REF!,"AAAAABj6+8s=")</f>
        <v>#REF!</v>
      </c>
      <c r="GW1" s="25" t="e">
        <f>AND(#REF!,"AAAAABj6+8w=")</f>
        <v>#REF!</v>
      </c>
      <c r="GX1" s="25" t="e">
        <f>AND(#REF!,"AAAAABj6+80=")</f>
        <v>#REF!</v>
      </c>
      <c r="GY1" s="25" t="e">
        <f>AND(#REF!,"AAAAABj6+84=")</f>
        <v>#REF!</v>
      </c>
      <c r="GZ1" s="25" t="e">
        <f>AND(#REF!,"AAAAABj6+88=")</f>
        <v>#REF!</v>
      </c>
      <c r="HA1" s="25" t="e">
        <f>AND(#REF!,"AAAAABj6+9A=")</f>
        <v>#REF!</v>
      </c>
      <c r="HB1" s="25" t="e">
        <f>AND(#REF!,"AAAAABj6+9E=")</f>
        <v>#REF!</v>
      </c>
      <c r="HC1" s="25" t="e">
        <f>AND(#REF!,"AAAAABj6+9I=")</f>
        <v>#REF!</v>
      </c>
      <c r="HD1" s="25" t="e">
        <f>AND(#REF!,"AAAAABj6+9M=")</f>
        <v>#REF!</v>
      </c>
      <c r="HE1" s="25" t="e">
        <f>AND(#REF!,"AAAAABj6+9Q=")</f>
        <v>#REF!</v>
      </c>
      <c r="HF1" s="25" t="e">
        <f>AND(#REF!,"AAAAABj6+9U=")</f>
        <v>#REF!</v>
      </c>
      <c r="HG1" s="25" t="e">
        <f>AND(#REF!,"AAAAABj6+9Y=")</f>
        <v>#REF!</v>
      </c>
      <c r="HH1" s="25" t="e">
        <f>AND(#REF!,"AAAAABj6+9c=")</f>
        <v>#REF!</v>
      </c>
      <c r="HI1" s="25" t="e">
        <f>AND(#REF!,"AAAAABj6+9g=")</f>
        <v>#REF!</v>
      </c>
      <c r="HJ1" s="25" t="e">
        <f>AND(#REF!,"AAAAABj6+9k=")</f>
        <v>#REF!</v>
      </c>
      <c r="HK1" s="25" t="e">
        <f>AND(#REF!,"AAAAABj6+9o=")</f>
        <v>#REF!</v>
      </c>
      <c r="HL1" s="25" t="e">
        <f>AND(#REF!,"AAAAABj6+9s=")</f>
        <v>#REF!</v>
      </c>
      <c r="HM1" s="25" t="e">
        <f>IF(#REF!,"AAAAABj6+9w=",0)</f>
        <v>#REF!</v>
      </c>
      <c r="HN1" s="25" t="e">
        <f>AND(#REF!,"AAAAABj6+90=")</f>
        <v>#REF!</v>
      </c>
      <c r="HO1" s="25" t="e">
        <f>AND(#REF!,"AAAAABj6+94=")</f>
        <v>#REF!</v>
      </c>
      <c r="HP1" s="25" t="e">
        <f>AND(#REF!,"AAAAABj6+98=")</f>
        <v>#REF!</v>
      </c>
      <c r="HQ1" s="25" t="e">
        <f>AND(#REF!,"AAAAABj6++A=")</f>
        <v>#REF!</v>
      </c>
      <c r="HR1" s="25" t="e">
        <f>AND(#REF!,"AAAAABj6++E=")</f>
        <v>#REF!</v>
      </c>
      <c r="HS1" s="25" t="e">
        <f>AND(#REF!,"AAAAABj6++I=")</f>
        <v>#REF!</v>
      </c>
      <c r="HT1" s="25" t="e">
        <f>AND(#REF!,"AAAAABj6++M=")</f>
        <v>#REF!</v>
      </c>
      <c r="HU1" s="25" t="e">
        <f>AND(#REF!,"AAAAABj6++Q=")</f>
        <v>#REF!</v>
      </c>
      <c r="HV1" s="25" t="e">
        <f>AND(#REF!,"AAAAABj6++U=")</f>
        <v>#REF!</v>
      </c>
      <c r="HW1" s="25" t="e">
        <f>AND(#REF!,"AAAAABj6++Y=")</f>
        <v>#REF!</v>
      </c>
      <c r="HX1" s="25" t="e">
        <f>AND(#REF!,"AAAAABj6++c=")</f>
        <v>#REF!</v>
      </c>
      <c r="HY1" s="25" t="e">
        <f>AND(#REF!,"AAAAABj6++g=")</f>
        <v>#REF!</v>
      </c>
      <c r="HZ1" s="25" t="e">
        <f>AND(#REF!,"AAAAABj6++k=")</f>
        <v>#REF!</v>
      </c>
      <c r="IA1" s="25" t="e">
        <f>AND(#REF!,"AAAAABj6++o=")</f>
        <v>#REF!</v>
      </c>
      <c r="IB1" s="25" t="e">
        <f>AND(#REF!,"AAAAABj6++s=")</f>
        <v>#REF!</v>
      </c>
      <c r="IC1" s="25" t="e">
        <f>AND(#REF!,"AAAAABj6++w=")</f>
        <v>#REF!</v>
      </c>
      <c r="ID1" s="25" t="e">
        <f>AND(#REF!,"AAAAABj6++0=")</f>
        <v>#REF!</v>
      </c>
      <c r="IE1" s="25" t="e">
        <f>AND(#REF!,"AAAAABj6++4=")</f>
        <v>#REF!</v>
      </c>
      <c r="IF1" s="25" t="e">
        <f>AND(#REF!,"AAAAABj6++8=")</f>
        <v>#REF!</v>
      </c>
      <c r="IG1" s="25" t="e">
        <f>AND(#REF!,"AAAAABj6+/A=")</f>
        <v>#REF!</v>
      </c>
      <c r="IH1" s="25" t="e">
        <f>AND(#REF!,"AAAAABj6+/E=")</f>
        <v>#REF!</v>
      </c>
      <c r="II1" s="25" t="e">
        <f>IF(#REF!,"AAAAABj6+/I=",0)</f>
        <v>#REF!</v>
      </c>
      <c r="IJ1" s="25" t="e">
        <f>AND(#REF!,"AAAAABj6+/M=")</f>
        <v>#REF!</v>
      </c>
      <c r="IK1" s="25" t="e">
        <f>AND(#REF!,"AAAAABj6+/Q=")</f>
        <v>#REF!</v>
      </c>
      <c r="IL1" s="25" t="e">
        <f>AND(#REF!,"AAAAABj6+/U=")</f>
        <v>#REF!</v>
      </c>
      <c r="IM1" s="25" t="e">
        <f>AND(#REF!,"AAAAABj6+/Y=")</f>
        <v>#REF!</v>
      </c>
      <c r="IN1" s="25" t="e">
        <f>AND(#REF!,"AAAAABj6+/c=")</f>
        <v>#REF!</v>
      </c>
      <c r="IO1" s="25" t="e">
        <f>AND(#REF!,"AAAAABj6+/g=")</f>
        <v>#REF!</v>
      </c>
      <c r="IP1" s="25" t="e">
        <f>AND(#REF!,"AAAAABj6+/k=")</f>
        <v>#REF!</v>
      </c>
      <c r="IQ1" s="25" t="e">
        <f>AND(#REF!,"AAAAABj6+/o=")</f>
        <v>#REF!</v>
      </c>
      <c r="IR1" s="25" t="e">
        <f>AND(#REF!,"AAAAABj6+/s=")</f>
        <v>#REF!</v>
      </c>
      <c r="IS1" s="25" t="e">
        <f>AND(#REF!,"AAAAABj6+/w=")</f>
        <v>#REF!</v>
      </c>
      <c r="IT1" s="25" t="e">
        <f>AND(#REF!,"AAAAABj6+/0=")</f>
        <v>#REF!</v>
      </c>
      <c r="IU1" s="25" t="e">
        <f>AND(#REF!,"AAAAABj6+/4=")</f>
        <v>#REF!</v>
      </c>
      <c r="IV1" s="25" t="e">
        <f>AND(#REF!,"AAAAABj6+/8=")</f>
        <v>#REF!</v>
      </c>
    </row>
    <row r="2" spans="1:256" ht="12.75" customHeight="1" x14ac:dyDescent="0.2">
      <c r="A2" s="25" t="e">
        <f>AND(#REF!,"AAAAABu/vAA=")</f>
        <v>#REF!</v>
      </c>
      <c r="B2" s="25" t="e">
        <f>AND(#REF!,"AAAAABu/vAE=")</f>
        <v>#REF!</v>
      </c>
      <c r="C2" s="25" t="e">
        <f>AND(#REF!,"AAAAABu/vAI=")</f>
        <v>#REF!</v>
      </c>
      <c r="D2" s="25" t="e">
        <f>AND(#REF!,"AAAAABu/vAM=")</f>
        <v>#REF!</v>
      </c>
      <c r="E2" s="25" t="e">
        <f>AND(#REF!,"AAAAABu/vAQ=")</f>
        <v>#REF!</v>
      </c>
      <c r="F2" s="25" t="e">
        <f>AND(#REF!,"AAAAABu/vAU=")</f>
        <v>#REF!</v>
      </c>
      <c r="G2" s="25" t="e">
        <f>AND(#REF!,"AAAAABu/vAY=")</f>
        <v>#REF!</v>
      </c>
      <c r="H2" s="25" t="e">
        <f>AND(#REF!,"AAAAABu/vAc=")</f>
        <v>#REF!</v>
      </c>
      <c r="I2" s="25" t="e">
        <f>IF(#REF!,"AAAAABu/vAg=",0)</f>
        <v>#REF!</v>
      </c>
      <c r="J2" s="25" t="e">
        <f>AND(#REF!,"AAAAABu/vAk=")</f>
        <v>#REF!</v>
      </c>
      <c r="K2" s="25" t="e">
        <f>AND(#REF!,"AAAAABu/vAo=")</f>
        <v>#REF!</v>
      </c>
      <c r="L2" s="25" t="e">
        <f>AND(#REF!,"AAAAABu/vAs=")</f>
        <v>#REF!</v>
      </c>
      <c r="M2" s="25" t="e">
        <f>AND(#REF!,"AAAAABu/vAw=")</f>
        <v>#REF!</v>
      </c>
      <c r="N2" s="25" t="e">
        <f>AND(#REF!,"AAAAABu/vA0=")</f>
        <v>#REF!</v>
      </c>
      <c r="O2" s="25" t="e">
        <f>AND(#REF!,"AAAAABu/vA4=")</f>
        <v>#REF!</v>
      </c>
      <c r="P2" s="25" t="e">
        <f>AND(#REF!,"AAAAABu/vA8=")</f>
        <v>#REF!</v>
      </c>
      <c r="Q2" s="25" t="e">
        <f>AND(#REF!,"AAAAABu/vBA=")</f>
        <v>#REF!</v>
      </c>
      <c r="R2" s="25" t="e">
        <f>AND(#REF!,"AAAAABu/vBE=")</f>
        <v>#REF!</v>
      </c>
      <c r="S2" s="25" t="e">
        <f>AND(#REF!,"AAAAABu/vBI=")</f>
        <v>#REF!</v>
      </c>
      <c r="T2" s="25" t="e">
        <f>AND(#REF!,"AAAAABu/vBM=")</f>
        <v>#REF!</v>
      </c>
      <c r="U2" s="25" t="e">
        <f>AND(#REF!,"AAAAABu/vBQ=")</f>
        <v>#REF!</v>
      </c>
      <c r="V2" s="25" t="e">
        <f>AND(#REF!,"AAAAABu/vBU=")</f>
        <v>#REF!</v>
      </c>
      <c r="W2" s="25" t="e">
        <f>AND(#REF!,"AAAAABu/vBY=")</f>
        <v>#REF!</v>
      </c>
      <c r="X2" s="25" t="e">
        <f>AND(#REF!,"AAAAABu/vBc=")</f>
        <v>#REF!</v>
      </c>
      <c r="Y2" s="25" t="e">
        <f>AND(#REF!,"AAAAABu/vBg=")</f>
        <v>#REF!</v>
      </c>
      <c r="Z2" s="25" t="e">
        <f>AND(#REF!,"AAAAABu/vBk=")</f>
        <v>#REF!</v>
      </c>
      <c r="AA2" s="25" t="e">
        <f>AND(#REF!,"AAAAABu/vBo=")</f>
        <v>#REF!</v>
      </c>
      <c r="AB2" s="25" t="e">
        <f>AND(#REF!,"AAAAABu/vBs=")</f>
        <v>#REF!</v>
      </c>
      <c r="AC2" s="25" t="e">
        <f>AND(#REF!,"AAAAABu/vBw=")</f>
        <v>#REF!</v>
      </c>
      <c r="AD2" s="25" t="e">
        <f>AND(#REF!,"AAAAABu/vB0=")</f>
        <v>#REF!</v>
      </c>
      <c r="AE2" s="25" t="e">
        <f>IF(#REF!,"AAAAABu/vB4=",0)</f>
        <v>#REF!</v>
      </c>
      <c r="AF2" s="25" t="e">
        <f>AND(#REF!,"AAAAABu/vB8=")</f>
        <v>#REF!</v>
      </c>
      <c r="AG2" s="25" t="e">
        <f>AND(#REF!,"AAAAABu/vCA=")</f>
        <v>#REF!</v>
      </c>
      <c r="AH2" s="25" t="e">
        <f>AND(#REF!,"AAAAABu/vCE=")</f>
        <v>#REF!</v>
      </c>
      <c r="AI2" s="25" t="e">
        <f>AND(#REF!,"AAAAABu/vCI=")</f>
        <v>#REF!</v>
      </c>
      <c r="AJ2" s="25" t="e">
        <f>AND(#REF!,"AAAAABu/vCM=")</f>
        <v>#REF!</v>
      </c>
      <c r="AK2" s="25" t="e">
        <f>AND(#REF!,"AAAAABu/vCQ=")</f>
        <v>#REF!</v>
      </c>
      <c r="AL2" s="25" t="e">
        <f>AND(#REF!,"AAAAABu/vCU=")</f>
        <v>#REF!</v>
      </c>
      <c r="AM2" s="25" t="e">
        <f>AND(#REF!,"AAAAABu/vCY=")</f>
        <v>#REF!</v>
      </c>
      <c r="AN2" s="25" t="e">
        <f>AND(#REF!,"AAAAABu/vCc=")</f>
        <v>#REF!</v>
      </c>
      <c r="AO2" s="25" t="e">
        <f>AND(#REF!,"AAAAABu/vCg=")</f>
        <v>#REF!</v>
      </c>
      <c r="AP2" s="25" t="e">
        <f>AND(#REF!,"AAAAABu/vCk=")</f>
        <v>#REF!</v>
      </c>
      <c r="AQ2" s="25" t="e">
        <f>AND(#REF!,"AAAAABu/vCo=")</f>
        <v>#REF!</v>
      </c>
      <c r="AR2" s="25" t="e">
        <f>AND(#REF!,"AAAAABu/vCs=")</f>
        <v>#REF!</v>
      </c>
      <c r="AS2" s="25" t="e">
        <f>AND(#REF!,"AAAAABu/vCw=")</f>
        <v>#REF!</v>
      </c>
      <c r="AT2" s="25" t="e">
        <f>AND(#REF!,"AAAAABu/vC0=")</f>
        <v>#REF!</v>
      </c>
      <c r="AU2" s="25" t="e">
        <f>AND(#REF!,"AAAAABu/vC4=")</f>
        <v>#REF!</v>
      </c>
      <c r="AV2" s="25" t="e">
        <f>AND(#REF!,"AAAAABu/vC8=")</f>
        <v>#REF!</v>
      </c>
      <c r="AW2" s="25" t="e">
        <f>AND(#REF!,"AAAAABu/vDA=")</f>
        <v>#REF!</v>
      </c>
      <c r="AX2" s="25" t="e">
        <f>AND(#REF!,"AAAAABu/vDE=")</f>
        <v>#REF!</v>
      </c>
      <c r="AY2" s="25" t="e">
        <f>AND(#REF!,"AAAAABu/vDI=")</f>
        <v>#REF!</v>
      </c>
      <c r="AZ2" s="25" t="e">
        <f>AND(#REF!,"AAAAABu/vDM=")</f>
        <v>#REF!</v>
      </c>
      <c r="BA2" s="25" t="e">
        <f>IF(#REF!,"AAAAABu/vDQ=",0)</f>
        <v>#REF!</v>
      </c>
      <c r="BB2" s="25" t="e">
        <f>AND(#REF!,"AAAAABu/vDU=")</f>
        <v>#REF!</v>
      </c>
      <c r="BC2" s="25" t="e">
        <f>AND(#REF!,"AAAAABu/vDY=")</f>
        <v>#REF!</v>
      </c>
      <c r="BD2" s="25" t="e">
        <f>AND(#REF!,"AAAAABu/vDc=")</f>
        <v>#REF!</v>
      </c>
      <c r="BE2" s="25" t="e">
        <f>AND(#REF!,"AAAAABu/vDg=")</f>
        <v>#REF!</v>
      </c>
      <c r="BF2" s="25" t="e">
        <f>AND(#REF!,"AAAAABu/vDk=")</f>
        <v>#REF!</v>
      </c>
      <c r="BG2" s="25" t="e">
        <f>AND(#REF!,"AAAAABu/vDo=")</f>
        <v>#REF!</v>
      </c>
      <c r="BH2" s="25" t="e">
        <f>AND(#REF!,"AAAAABu/vDs=")</f>
        <v>#REF!</v>
      </c>
      <c r="BI2" s="25" t="e">
        <f>AND(#REF!,"AAAAABu/vDw=")</f>
        <v>#REF!</v>
      </c>
      <c r="BJ2" s="25" t="e">
        <f>AND(#REF!,"AAAAABu/vD0=")</f>
        <v>#REF!</v>
      </c>
      <c r="BK2" s="25" t="e">
        <f>AND(#REF!,"AAAAABu/vD4=")</f>
        <v>#REF!</v>
      </c>
      <c r="BL2" s="25" t="e">
        <f>AND(#REF!,"AAAAABu/vD8=")</f>
        <v>#REF!</v>
      </c>
      <c r="BM2" s="25" t="e">
        <f>AND(#REF!,"AAAAABu/vEA=")</f>
        <v>#REF!</v>
      </c>
      <c r="BN2" s="25" t="e">
        <f>AND(#REF!,"AAAAABu/vEE=")</f>
        <v>#REF!</v>
      </c>
      <c r="BO2" s="25" t="e">
        <f>AND(#REF!,"AAAAABu/vEI=")</f>
        <v>#REF!</v>
      </c>
      <c r="BP2" s="25" t="e">
        <f>AND(#REF!,"AAAAABu/vEM=")</f>
        <v>#REF!</v>
      </c>
      <c r="BQ2" s="25" t="e">
        <f>AND(#REF!,"AAAAABu/vEQ=")</f>
        <v>#REF!</v>
      </c>
      <c r="BR2" s="25" t="e">
        <f>AND(#REF!,"AAAAABu/vEU=")</f>
        <v>#REF!</v>
      </c>
      <c r="BS2" s="25" t="e">
        <f>AND(#REF!,"AAAAABu/vEY=")</f>
        <v>#REF!</v>
      </c>
      <c r="BT2" s="25" t="e">
        <f>AND(#REF!,"AAAAABu/vEc=")</f>
        <v>#REF!</v>
      </c>
      <c r="BU2" s="25" t="e">
        <f>AND(#REF!,"AAAAABu/vEg=")</f>
        <v>#REF!</v>
      </c>
      <c r="BV2" s="25" t="e">
        <f>AND(#REF!,"AAAAABu/vEk=")</f>
        <v>#REF!</v>
      </c>
      <c r="BW2" s="25" t="e">
        <f>IF(#REF!,"AAAAABu/vEo=",0)</f>
        <v>#REF!</v>
      </c>
      <c r="BX2" s="25" t="e">
        <f>AND(#REF!,"AAAAABu/vEs=")</f>
        <v>#REF!</v>
      </c>
      <c r="BY2" s="25" t="e">
        <f>AND(#REF!,"AAAAABu/vEw=")</f>
        <v>#REF!</v>
      </c>
      <c r="BZ2" s="25" t="e">
        <f>AND(#REF!,"AAAAABu/vE0=")</f>
        <v>#REF!</v>
      </c>
      <c r="CA2" s="25" t="e">
        <f>AND(#REF!,"AAAAABu/vE4=")</f>
        <v>#REF!</v>
      </c>
      <c r="CB2" s="25" t="e">
        <f>AND(#REF!,"AAAAABu/vE8=")</f>
        <v>#REF!</v>
      </c>
      <c r="CC2" s="25" t="e">
        <f>AND(#REF!,"AAAAABu/vFA=")</f>
        <v>#REF!</v>
      </c>
      <c r="CD2" s="25" t="e">
        <f>AND(#REF!,"AAAAABu/vFE=")</f>
        <v>#REF!</v>
      </c>
      <c r="CE2" s="25" t="e">
        <f>AND(#REF!,"AAAAABu/vFI=")</f>
        <v>#REF!</v>
      </c>
      <c r="CF2" s="25" t="e">
        <f>AND(#REF!,"AAAAABu/vFM=")</f>
        <v>#REF!</v>
      </c>
      <c r="CG2" s="25" t="e">
        <f>AND(#REF!,"AAAAABu/vFQ=")</f>
        <v>#REF!</v>
      </c>
      <c r="CH2" s="25" t="e">
        <f>AND(#REF!,"AAAAABu/vFU=")</f>
        <v>#REF!</v>
      </c>
      <c r="CI2" s="25" t="e">
        <f>AND(#REF!,"AAAAABu/vFY=")</f>
        <v>#REF!</v>
      </c>
      <c r="CJ2" s="25" t="e">
        <f>AND(#REF!,"AAAAABu/vFc=")</f>
        <v>#REF!</v>
      </c>
      <c r="CK2" s="25" t="e">
        <f>AND(#REF!,"AAAAABu/vFg=")</f>
        <v>#REF!</v>
      </c>
      <c r="CL2" s="25" t="e">
        <f>AND(#REF!,"AAAAABu/vFk=")</f>
        <v>#REF!</v>
      </c>
      <c r="CM2" s="25" t="e">
        <f>AND(#REF!,"AAAAABu/vFo=")</f>
        <v>#REF!</v>
      </c>
      <c r="CN2" s="25" t="e">
        <f>AND(#REF!,"AAAAABu/vFs=")</f>
        <v>#REF!</v>
      </c>
      <c r="CO2" s="25" t="e">
        <f>AND(#REF!,"AAAAABu/vFw=")</f>
        <v>#REF!</v>
      </c>
      <c r="CP2" s="25" t="e">
        <f>AND(#REF!,"AAAAABu/vF0=")</f>
        <v>#REF!</v>
      </c>
      <c r="CQ2" s="25" t="e">
        <f>AND(#REF!,"AAAAABu/vF4=")</f>
        <v>#REF!</v>
      </c>
      <c r="CR2" s="25" t="e">
        <f>AND(#REF!,"AAAAABu/vF8=")</f>
        <v>#REF!</v>
      </c>
      <c r="CS2" s="25" t="e">
        <f>IF(#REF!,"AAAAABu/vGA=",0)</f>
        <v>#REF!</v>
      </c>
      <c r="CT2" s="25" t="e">
        <f>AND(#REF!,"AAAAABu/vGE=")</f>
        <v>#REF!</v>
      </c>
      <c r="CU2" s="25" t="e">
        <f>AND(#REF!,"AAAAABu/vGI=")</f>
        <v>#REF!</v>
      </c>
      <c r="CV2" s="25" t="e">
        <f>AND(#REF!,"AAAAABu/vGM=")</f>
        <v>#REF!</v>
      </c>
      <c r="CW2" s="25" t="e">
        <f>AND(#REF!,"AAAAABu/vGQ=")</f>
        <v>#REF!</v>
      </c>
      <c r="CX2" s="25" t="e">
        <f>AND(#REF!,"AAAAABu/vGU=")</f>
        <v>#REF!</v>
      </c>
      <c r="CY2" s="25" t="e">
        <f>AND(#REF!,"AAAAABu/vGY=")</f>
        <v>#REF!</v>
      </c>
      <c r="CZ2" s="25" t="e">
        <f>AND(#REF!,"AAAAABu/vGc=")</f>
        <v>#REF!</v>
      </c>
      <c r="DA2" s="25" t="e">
        <f>AND(#REF!,"AAAAABu/vGg=")</f>
        <v>#REF!</v>
      </c>
      <c r="DB2" s="25" t="e">
        <f>AND(#REF!,"AAAAABu/vGk=")</f>
        <v>#REF!</v>
      </c>
      <c r="DC2" s="25" t="e">
        <f>AND(#REF!,"AAAAABu/vGo=")</f>
        <v>#REF!</v>
      </c>
      <c r="DD2" s="25" t="e">
        <f>AND(#REF!,"AAAAABu/vGs=")</f>
        <v>#REF!</v>
      </c>
      <c r="DE2" s="25" t="e">
        <f>AND(#REF!,"AAAAABu/vGw=")</f>
        <v>#REF!</v>
      </c>
      <c r="DF2" s="25" t="e">
        <f>AND(#REF!,"AAAAABu/vG0=")</f>
        <v>#REF!</v>
      </c>
      <c r="DG2" s="25" t="e">
        <f>AND(#REF!,"AAAAABu/vG4=")</f>
        <v>#REF!</v>
      </c>
      <c r="DH2" s="25" t="e">
        <f>AND(#REF!,"AAAAABu/vG8=")</f>
        <v>#REF!</v>
      </c>
      <c r="DI2" s="25" t="e">
        <f>AND(#REF!,"AAAAABu/vHA=")</f>
        <v>#REF!</v>
      </c>
      <c r="DJ2" s="25" t="e">
        <f>AND(#REF!,"AAAAABu/vHE=")</f>
        <v>#REF!</v>
      </c>
      <c r="DK2" s="25" t="e">
        <f>AND(#REF!,"AAAAABu/vHI=")</f>
        <v>#REF!</v>
      </c>
      <c r="DL2" s="25" t="e">
        <f>AND(#REF!,"AAAAABu/vHM=")</f>
        <v>#REF!</v>
      </c>
      <c r="DM2" s="25" t="e">
        <f>AND(#REF!,"AAAAABu/vHQ=")</f>
        <v>#REF!</v>
      </c>
      <c r="DN2" s="25" t="e">
        <f>AND(#REF!,"AAAAABu/vHU=")</f>
        <v>#REF!</v>
      </c>
      <c r="DO2" s="25" t="e">
        <f>IF(#REF!,"AAAAABu/vHY=",0)</f>
        <v>#REF!</v>
      </c>
      <c r="DP2" s="25" t="e">
        <f>AND(#REF!,"AAAAABu/vHc=")</f>
        <v>#REF!</v>
      </c>
      <c r="DQ2" s="25" t="e">
        <f>AND(#REF!,"AAAAABu/vHg=")</f>
        <v>#REF!</v>
      </c>
      <c r="DR2" s="25" t="e">
        <f>AND(#REF!,"AAAAABu/vHk=")</f>
        <v>#REF!</v>
      </c>
      <c r="DS2" s="25" t="e">
        <f>AND(#REF!,"AAAAABu/vHo=")</f>
        <v>#REF!</v>
      </c>
      <c r="DT2" s="25" t="e">
        <f>AND(#REF!,"AAAAABu/vHs=")</f>
        <v>#REF!</v>
      </c>
      <c r="DU2" s="25" t="e">
        <f>AND(#REF!,"AAAAABu/vHw=")</f>
        <v>#REF!</v>
      </c>
      <c r="DV2" s="25" t="e">
        <f>AND(#REF!,"AAAAABu/vH0=")</f>
        <v>#REF!</v>
      </c>
      <c r="DW2" s="25" t="e">
        <f>AND(#REF!,"AAAAABu/vH4=")</f>
        <v>#REF!</v>
      </c>
      <c r="DX2" s="25" t="e">
        <f>AND(#REF!,"AAAAABu/vH8=")</f>
        <v>#REF!</v>
      </c>
      <c r="DY2" s="25" t="e">
        <f>AND(#REF!,"AAAAABu/vIA=")</f>
        <v>#REF!</v>
      </c>
      <c r="DZ2" s="25" t="e">
        <f>AND(#REF!,"AAAAABu/vIE=")</f>
        <v>#REF!</v>
      </c>
      <c r="EA2" s="25" t="e">
        <f>AND(#REF!,"AAAAABu/vII=")</f>
        <v>#REF!</v>
      </c>
      <c r="EB2" s="25" t="e">
        <f>AND(#REF!,"AAAAABu/vIM=")</f>
        <v>#REF!</v>
      </c>
      <c r="EC2" s="25" t="e">
        <f>AND(#REF!,"AAAAABu/vIQ=")</f>
        <v>#REF!</v>
      </c>
      <c r="ED2" s="25" t="e">
        <f>AND(#REF!,"AAAAABu/vIU=")</f>
        <v>#REF!</v>
      </c>
      <c r="EE2" s="25" t="e">
        <f>AND(#REF!,"AAAAABu/vIY=")</f>
        <v>#REF!</v>
      </c>
      <c r="EF2" s="25" t="e">
        <f>AND(#REF!,"AAAAABu/vIc=")</f>
        <v>#REF!</v>
      </c>
      <c r="EG2" s="25" t="e">
        <f>AND(#REF!,"AAAAABu/vIg=")</f>
        <v>#REF!</v>
      </c>
      <c r="EH2" s="25" t="e">
        <f>AND(#REF!,"AAAAABu/vIk=")</f>
        <v>#REF!</v>
      </c>
      <c r="EI2" s="25" t="e">
        <f>AND(#REF!,"AAAAABu/vIo=")</f>
        <v>#REF!</v>
      </c>
      <c r="EJ2" s="25" t="e">
        <f>AND(#REF!,"AAAAABu/vIs=")</f>
        <v>#REF!</v>
      </c>
      <c r="EK2" s="25" t="e">
        <f>IF(#REF!,"AAAAABu/vIw=",0)</f>
        <v>#REF!</v>
      </c>
      <c r="EL2" s="25" t="e">
        <f>AND(#REF!,"AAAAABu/vI0=")</f>
        <v>#REF!</v>
      </c>
      <c r="EM2" s="25" t="e">
        <f>AND(#REF!,"AAAAABu/vI4=")</f>
        <v>#REF!</v>
      </c>
      <c r="EN2" s="25" t="e">
        <f>AND(#REF!,"AAAAABu/vI8=")</f>
        <v>#REF!</v>
      </c>
      <c r="EO2" s="25" t="e">
        <f>AND(#REF!,"AAAAABu/vJA=")</f>
        <v>#REF!</v>
      </c>
      <c r="EP2" s="25" t="e">
        <f>AND(#REF!,"AAAAABu/vJE=")</f>
        <v>#REF!</v>
      </c>
      <c r="EQ2" s="25" t="e">
        <f>AND(#REF!,"AAAAABu/vJI=")</f>
        <v>#REF!</v>
      </c>
      <c r="ER2" s="25" t="e">
        <f>AND(#REF!,"AAAAABu/vJM=")</f>
        <v>#REF!</v>
      </c>
      <c r="ES2" s="25" t="e">
        <f>AND(#REF!,"AAAAABu/vJQ=")</f>
        <v>#REF!</v>
      </c>
      <c r="ET2" s="25" t="e">
        <f>AND(#REF!,"AAAAABu/vJU=")</f>
        <v>#REF!</v>
      </c>
      <c r="EU2" s="25" t="e">
        <f>AND(#REF!,"AAAAABu/vJY=")</f>
        <v>#REF!</v>
      </c>
      <c r="EV2" s="25" t="e">
        <f>AND(#REF!,"AAAAABu/vJc=")</f>
        <v>#REF!</v>
      </c>
      <c r="EW2" s="25" t="e">
        <f>AND(#REF!,"AAAAABu/vJg=")</f>
        <v>#REF!</v>
      </c>
      <c r="EX2" s="25" t="e">
        <f>AND(#REF!,"AAAAABu/vJk=")</f>
        <v>#REF!</v>
      </c>
      <c r="EY2" s="25" t="e">
        <f>AND(#REF!,"AAAAABu/vJo=")</f>
        <v>#REF!</v>
      </c>
      <c r="EZ2" s="25" t="e">
        <f>AND(#REF!,"AAAAABu/vJs=")</f>
        <v>#REF!</v>
      </c>
      <c r="FA2" s="25" t="e">
        <f>AND(#REF!,"AAAAABu/vJw=")</f>
        <v>#REF!</v>
      </c>
      <c r="FB2" s="25" t="e">
        <f>AND(#REF!,"AAAAABu/vJ0=")</f>
        <v>#REF!</v>
      </c>
      <c r="FC2" s="25" t="e">
        <f>AND(#REF!,"AAAAABu/vJ4=")</f>
        <v>#REF!</v>
      </c>
      <c r="FD2" s="25" t="e">
        <f>AND(#REF!,"AAAAABu/vJ8=")</f>
        <v>#REF!</v>
      </c>
      <c r="FE2" s="25" t="e">
        <f>AND(#REF!,"AAAAABu/vKA=")</f>
        <v>#REF!</v>
      </c>
      <c r="FF2" s="25" t="e">
        <f>AND(#REF!,"AAAAABu/vKE=")</f>
        <v>#REF!</v>
      </c>
      <c r="FG2" s="25" t="e">
        <f>IF(#REF!,"AAAAABu/vKI=",0)</f>
        <v>#REF!</v>
      </c>
      <c r="FH2" s="25" t="e">
        <f>AND(#REF!,"AAAAABu/vKM=")</f>
        <v>#REF!</v>
      </c>
      <c r="FI2" s="25" t="e">
        <f>AND(#REF!,"AAAAABu/vKQ=")</f>
        <v>#REF!</v>
      </c>
      <c r="FJ2" s="25" t="e">
        <f>AND(#REF!,"AAAAABu/vKU=")</f>
        <v>#REF!</v>
      </c>
      <c r="FK2" s="25" t="e">
        <f>AND(#REF!,"AAAAABu/vKY=")</f>
        <v>#REF!</v>
      </c>
      <c r="FL2" s="25" t="e">
        <f>AND(#REF!,"AAAAABu/vKc=")</f>
        <v>#REF!</v>
      </c>
      <c r="FM2" s="25" t="e">
        <f>AND(#REF!,"AAAAABu/vKg=")</f>
        <v>#REF!</v>
      </c>
      <c r="FN2" s="25" t="e">
        <f>AND(#REF!,"AAAAABu/vKk=")</f>
        <v>#REF!</v>
      </c>
      <c r="FO2" s="25" t="e">
        <f>AND(#REF!,"AAAAABu/vKo=")</f>
        <v>#REF!</v>
      </c>
      <c r="FP2" s="25" t="e">
        <f>AND(#REF!,"AAAAABu/vKs=")</f>
        <v>#REF!</v>
      </c>
      <c r="FQ2" s="25" t="e">
        <f>AND(#REF!,"AAAAABu/vKw=")</f>
        <v>#REF!</v>
      </c>
      <c r="FR2" s="25" t="e">
        <f>AND(#REF!,"AAAAABu/vK0=")</f>
        <v>#REF!</v>
      </c>
      <c r="FS2" s="25" t="e">
        <f>AND(#REF!,"AAAAABu/vK4=")</f>
        <v>#REF!</v>
      </c>
      <c r="FT2" s="25" t="e">
        <f>AND(#REF!,"AAAAABu/vK8=")</f>
        <v>#REF!</v>
      </c>
      <c r="FU2" s="25" t="e">
        <f>AND(#REF!,"AAAAABu/vLA=")</f>
        <v>#REF!</v>
      </c>
      <c r="FV2" s="25" t="e">
        <f>AND(#REF!,"AAAAABu/vLE=")</f>
        <v>#REF!</v>
      </c>
      <c r="FW2" s="25" t="e">
        <f>AND(#REF!,"AAAAABu/vLI=")</f>
        <v>#REF!</v>
      </c>
      <c r="FX2" s="25" t="e">
        <f>AND(#REF!,"AAAAABu/vLM=")</f>
        <v>#REF!</v>
      </c>
      <c r="FY2" s="25" t="e">
        <f>AND(#REF!,"AAAAABu/vLQ=")</f>
        <v>#REF!</v>
      </c>
      <c r="FZ2" s="25" t="e">
        <f>AND(#REF!,"AAAAABu/vLU=")</f>
        <v>#REF!</v>
      </c>
      <c r="GA2" s="25" t="e">
        <f>AND(#REF!,"AAAAABu/vLY=")</f>
        <v>#REF!</v>
      </c>
      <c r="GB2" s="25" t="e">
        <f>AND(#REF!,"AAAAABu/vLc=")</f>
        <v>#REF!</v>
      </c>
      <c r="GC2" s="25" t="e">
        <f>IF(#REF!,"AAAAABu/vLg=",0)</f>
        <v>#REF!</v>
      </c>
      <c r="GD2" s="25" t="e">
        <f>AND(#REF!,"AAAAABu/vLk=")</f>
        <v>#REF!</v>
      </c>
      <c r="GE2" s="25" t="e">
        <f>AND(#REF!,"AAAAABu/vLo=")</f>
        <v>#REF!</v>
      </c>
      <c r="GF2" s="25" t="e">
        <f>AND(#REF!,"AAAAABu/vLs=")</f>
        <v>#REF!</v>
      </c>
      <c r="GG2" s="25" t="e">
        <f>AND(#REF!,"AAAAABu/vLw=")</f>
        <v>#REF!</v>
      </c>
      <c r="GH2" s="25" t="e">
        <f>AND(#REF!,"AAAAABu/vL0=")</f>
        <v>#REF!</v>
      </c>
      <c r="GI2" s="25" t="e">
        <f>AND(#REF!,"AAAAABu/vL4=")</f>
        <v>#REF!</v>
      </c>
      <c r="GJ2" s="25" t="e">
        <f>AND(#REF!,"AAAAABu/vL8=")</f>
        <v>#REF!</v>
      </c>
      <c r="GK2" s="25" t="e">
        <f>AND(#REF!,"AAAAABu/vMA=")</f>
        <v>#REF!</v>
      </c>
      <c r="GL2" s="25" t="e">
        <f>AND(#REF!,"AAAAABu/vME=")</f>
        <v>#REF!</v>
      </c>
      <c r="GM2" s="25" t="e">
        <f>AND(#REF!,"AAAAABu/vMI=")</f>
        <v>#REF!</v>
      </c>
      <c r="GN2" s="25" t="e">
        <f>AND(#REF!,"AAAAABu/vMM=")</f>
        <v>#REF!</v>
      </c>
      <c r="GO2" s="25" t="e">
        <f>AND(#REF!,"AAAAABu/vMQ=")</f>
        <v>#REF!</v>
      </c>
      <c r="GP2" s="25" t="e">
        <f>AND(#REF!,"AAAAABu/vMU=")</f>
        <v>#REF!</v>
      </c>
      <c r="GQ2" s="25" t="e">
        <f>AND(#REF!,"AAAAABu/vMY=")</f>
        <v>#REF!</v>
      </c>
      <c r="GR2" s="25" t="e">
        <f>AND(#REF!,"AAAAABu/vMc=")</f>
        <v>#REF!</v>
      </c>
      <c r="GS2" s="25" t="e">
        <f>AND(#REF!,"AAAAABu/vMg=")</f>
        <v>#REF!</v>
      </c>
      <c r="GT2" s="25" t="e">
        <f>AND(#REF!,"AAAAABu/vMk=")</f>
        <v>#REF!</v>
      </c>
      <c r="GU2" s="25" t="e">
        <f>AND(#REF!,"AAAAABu/vMo=")</f>
        <v>#REF!</v>
      </c>
      <c r="GV2" s="25" t="e">
        <f>AND(#REF!,"AAAAABu/vMs=")</f>
        <v>#REF!</v>
      </c>
      <c r="GW2" s="25" t="e">
        <f>AND(#REF!,"AAAAABu/vMw=")</f>
        <v>#REF!</v>
      </c>
      <c r="GX2" s="25" t="e">
        <f>AND(#REF!,"AAAAABu/vM0=")</f>
        <v>#REF!</v>
      </c>
      <c r="GY2" s="25" t="e">
        <f>IF(#REF!,"AAAAABu/vM4=",0)</f>
        <v>#REF!</v>
      </c>
      <c r="GZ2" s="25" t="e">
        <f>AND(#REF!,"AAAAABu/vM8=")</f>
        <v>#REF!</v>
      </c>
      <c r="HA2" s="25" t="e">
        <f>AND(#REF!,"AAAAABu/vNA=")</f>
        <v>#REF!</v>
      </c>
      <c r="HB2" s="25" t="e">
        <f>AND(#REF!,"AAAAABu/vNE=")</f>
        <v>#REF!</v>
      </c>
      <c r="HC2" s="25" t="e">
        <f>AND(#REF!,"AAAAABu/vNI=")</f>
        <v>#REF!</v>
      </c>
      <c r="HD2" s="25" t="e">
        <f>AND(#REF!,"AAAAABu/vNM=")</f>
        <v>#REF!</v>
      </c>
      <c r="HE2" s="25" t="e">
        <f>AND(#REF!,"AAAAABu/vNQ=")</f>
        <v>#REF!</v>
      </c>
      <c r="HF2" s="25" t="e">
        <f>AND(#REF!,"AAAAABu/vNU=")</f>
        <v>#REF!</v>
      </c>
      <c r="HG2" s="25" t="e">
        <f>AND(#REF!,"AAAAABu/vNY=")</f>
        <v>#REF!</v>
      </c>
      <c r="HH2" s="25" t="e">
        <f>AND(#REF!,"AAAAABu/vNc=")</f>
        <v>#REF!</v>
      </c>
      <c r="HI2" s="25" t="e">
        <f>AND(#REF!,"AAAAABu/vNg=")</f>
        <v>#REF!</v>
      </c>
      <c r="HJ2" s="25" t="e">
        <f>AND(#REF!,"AAAAABu/vNk=")</f>
        <v>#REF!</v>
      </c>
      <c r="HK2" s="25" t="e">
        <f>AND(#REF!,"AAAAABu/vNo=")</f>
        <v>#REF!</v>
      </c>
      <c r="HL2" s="25" t="e">
        <f>AND(#REF!,"AAAAABu/vNs=")</f>
        <v>#REF!</v>
      </c>
      <c r="HM2" s="25" t="e">
        <f>AND(#REF!,"AAAAABu/vNw=")</f>
        <v>#REF!</v>
      </c>
      <c r="HN2" s="25" t="e">
        <f>AND(#REF!,"AAAAABu/vN0=")</f>
        <v>#REF!</v>
      </c>
      <c r="HO2" s="25" t="e">
        <f>AND(#REF!,"AAAAABu/vN4=")</f>
        <v>#REF!</v>
      </c>
      <c r="HP2" s="25" t="e">
        <f>AND(#REF!,"AAAAABu/vN8=")</f>
        <v>#REF!</v>
      </c>
      <c r="HQ2" s="25" t="e">
        <f>AND(#REF!,"AAAAABu/vOA=")</f>
        <v>#REF!</v>
      </c>
      <c r="HR2" s="25" t="e">
        <f>AND(#REF!,"AAAAABu/vOE=")</f>
        <v>#REF!</v>
      </c>
      <c r="HS2" s="25" t="e">
        <f>AND(#REF!,"AAAAABu/vOI=")</f>
        <v>#REF!</v>
      </c>
      <c r="HT2" s="25" t="e">
        <f>AND(#REF!,"AAAAABu/vOM=")</f>
        <v>#REF!</v>
      </c>
      <c r="HU2" s="25" t="e">
        <f>IF(#REF!,"AAAAABu/vOQ=",0)</f>
        <v>#REF!</v>
      </c>
      <c r="HV2" s="25" t="e">
        <f>AND(#REF!,"AAAAABu/vOU=")</f>
        <v>#REF!</v>
      </c>
      <c r="HW2" s="25" t="e">
        <f>AND(#REF!,"AAAAABu/vOY=")</f>
        <v>#REF!</v>
      </c>
      <c r="HX2" s="25" t="e">
        <f>AND(#REF!,"AAAAABu/vOc=")</f>
        <v>#REF!</v>
      </c>
      <c r="HY2" s="25" t="e">
        <f>AND(#REF!,"AAAAABu/vOg=")</f>
        <v>#REF!</v>
      </c>
      <c r="HZ2" s="25" t="e">
        <f>AND(#REF!,"AAAAABu/vOk=")</f>
        <v>#REF!</v>
      </c>
      <c r="IA2" s="25" t="e">
        <f>AND(#REF!,"AAAAABu/vOo=")</f>
        <v>#REF!</v>
      </c>
      <c r="IB2" s="25" t="e">
        <f>AND(#REF!,"AAAAABu/vOs=")</f>
        <v>#REF!</v>
      </c>
      <c r="IC2" s="25" t="e">
        <f>AND(#REF!,"AAAAABu/vOw=")</f>
        <v>#REF!</v>
      </c>
      <c r="ID2" s="25" t="e">
        <f>AND(#REF!,"AAAAABu/vO0=")</f>
        <v>#REF!</v>
      </c>
      <c r="IE2" s="25" t="e">
        <f>AND(#REF!,"AAAAABu/vO4=")</f>
        <v>#REF!</v>
      </c>
      <c r="IF2" s="25" t="e">
        <f>AND(#REF!,"AAAAABu/vO8=")</f>
        <v>#REF!</v>
      </c>
      <c r="IG2" s="25" t="e">
        <f>AND(#REF!,"AAAAABu/vPA=")</f>
        <v>#REF!</v>
      </c>
      <c r="IH2" s="25" t="e">
        <f>AND(#REF!,"AAAAABu/vPE=")</f>
        <v>#REF!</v>
      </c>
      <c r="II2" s="25" t="e">
        <f>AND(#REF!,"AAAAABu/vPI=")</f>
        <v>#REF!</v>
      </c>
      <c r="IJ2" s="25" t="e">
        <f>AND(#REF!,"AAAAABu/vPM=")</f>
        <v>#REF!</v>
      </c>
      <c r="IK2" s="25" t="e">
        <f>AND(#REF!,"AAAAABu/vPQ=")</f>
        <v>#REF!</v>
      </c>
      <c r="IL2" s="25" t="e">
        <f>AND(#REF!,"AAAAABu/vPU=")</f>
        <v>#REF!</v>
      </c>
      <c r="IM2" s="25" t="e">
        <f>AND(#REF!,"AAAAABu/vPY=")</f>
        <v>#REF!</v>
      </c>
      <c r="IN2" s="25" t="e">
        <f>AND(#REF!,"AAAAABu/vPc=")</f>
        <v>#REF!</v>
      </c>
      <c r="IO2" s="25" t="e">
        <f>AND(#REF!,"AAAAABu/vPg=")</f>
        <v>#REF!</v>
      </c>
      <c r="IP2" s="25" t="e">
        <f>AND(#REF!,"AAAAABu/vPk=")</f>
        <v>#REF!</v>
      </c>
      <c r="IQ2" s="25" t="e">
        <f>IF(#REF!,"AAAAABu/vPo=",0)</f>
        <v>#REF!</v>
      </c>
      <c r="IR2" s="25" t="e">
        <f>AND(#REF!,"AAAAABu/vPs=")</f>
        <v>#REF!</v>
      </c>
      <c r="IS2" s="25" t="e">
        <f>AND(#REF!,"AAAAABu/vPw=")</f>
        <v>#REF!</v>
      </c>
      <c r="IT2" s="25" t="e">
        <f>AND(#REF!,"AAAAABu/vP0=")</f>
        <v>#REF!</v>
      </c>
      <c r="IU2" s="25" t="e">
        <f>AND(#REF!,"AAAAABu/vP4=")</f>
        <v>#REF!</v>
      </c>
      <c r="IV2" s="25" t="e">
        <f>AND(#REF!,"AAAAABu/vP8=")</f>
        <v>#REF!</v>
      </c>
    </row>
    <row r="3" spans="1:256" ht="12.75" customHeight="1" x14ac:dyDescent="0.2">
      <c r="A3" s="25" t="e">
        <f>AND(#REF!,"AAAAAGT2rQA=")</f>
        <v>#REF!</v>
      </c>
      <c r="B3" s="25" t="e">
        <f>AND(#REF!,"AAAAAGT2rQE=")</f>
        <v>#REF!</v>
      </c>
      <c r="C3" s="25" t="e">
        <f>AND(#REF!,"AAAAAGT2rQI=")</f>
        <v>#REF!</v>
      </c>
      <c r="D3" s="25" t="e">
        <f>AND(#REF!,"AAAAAGT2rQM=")</f>
        <v>#REF!</v>
      </c>
      <c r="E3" s="25" t="e">
        <f>AND(#REF!,"AAAAAGT2rQQ=")</f>
        <v>#REF!</v>
      </c>
      <c r="F3" s="25" t="e">
        <f>AND(#REF!,"AAAAAGT2rQU=")</f>
        <v>#REF!</v>
      </c>
      <c r="G3" s="25" t="e">
        <f>AND(#REF!,"AAAAAGT2rQY=")</f>
        <v>#REF!</v>
      </c>
      <c r="H3" s="25" t="e">
        <f>AND(#REF!,"AAAAAGT2rQc=")</f>
        <v>#REF!</v>
      </c>
      <c r="I3" s="25" t="e">
        <f>AND(#REF!,"AAAAAGT2rQg=")</f>
        <v>#REF!</v>
      </c>
      <c r="J3" s="25" t="e">
        <f>AND(#REF!,"AAAAAGT2rQk=")</f>
        <v>#REF!</v>
      </c>
      <c r="K3" s="25" t="e">
        <f>AND(#REF!,"AAAAAGT2rQo=")</f>
        <v>#REF!</v>
      </c>
      <c r="L3" s="25" t="e">
        <f>AND(#REF!,"AAAAAGT2rQs=")</f>
        <v>#REF!</v>
      </c>
      <c r="M3" s="25" t="e">
        <f>AND(#REF!,"AAAAAGT2rQw=")</f>
        <v>#REF!</v>
      </c>
      <c r="N3" s="25" t="e">
        <f>AND(#REF!,"AAAAAGT2rQ0=")</f>
        <v>#REF!</v>
      </c>
      <c r="O3" s="25" t="e">
        <f>AND(#REF!,"AAAAAGT2rQ4=")</f>
        <v>#REF!</v>
      </c>
      <c r="P3" s="25" t="e">
        <f>AND(#REF!,"AAAAAGT2rQ8=")</f>
        <v>#REF!</v>
      </c>
      <c r="Q3" s="25" t="e">
        <f>IF(#REF!,"AAAAAGT2rRA=",0)</f>
        <v>#REF!</v>
      </c>
      <c r="R3" s="25" t="e">
        <f>AND(#REF!,"AAAAAGT2rRE=")</f>
        <v>#REF!</v>
      </c>
      <c r="S3" s="25" t="e">
        <f>AND(#REF!,"AAAAAGT2rRI=")</f>
        <v>#REF!</v>
      </c>
      <c r="T3" s="25" t="e">
        <f>AND(#REF!,"AAAAAGT2rRM=")</f>
        <v>#REF!</v>
      </c>
      <c r="U3" s="25" t="e">
        <f>AND(#REF!,"AAAAAGT2rRQ=")</f>
        <v>#REF!</v>
      </c>
      <c r="V3" s="25" t="e">
        <f>AND(#REF!,"AAAAAGT2rRU=")</f>
        <v>#REF!</v>
      </c>
      <c r="W3" s="25" t="e">
        <f>AND(#REF!,"AAAAAGT2rRY=")</f>
        <v>#REF!</v>
      </c>
      <c r="X3" s="25" t="e">
        <f>AND(#REF!,"AAAAAGT2rRc=")</f>
        <v>#REF!</v>
      </c>
      <c r="Y3" s="25" t="e">
        <f>AND(#REF!,"AAAAAGT2rRg=")</f>
        <v>#REF!</v>
      </c>
      <c r="Z3" s="25" t="e">
        <f>AND(#REF!,"AAAAAGT2rRk=")</f>
        <v>#REF!</v>
      </c>
      <c r="AA3" s="25" t="e">
        <f>AND(#REF!,"AAAAAGT2rRo=")</f>
        <v>#REF!</v>
      </c>
      <c r="AB3" s="25" t="e">
        <f>AND(#REF!,"AAAAAGT2rRs=")</f>
        <v>#REF!</v>
      </c>
      <c r="AC3" s="25" t="e">
        <f>AND(#REF!,"AAAAAGT2rRw=")</f>
        <v>#REF!</v>
      </c>
      <c r="AD3" s="25" t="e">
        <f>AND(#REF!,"AAAAAGT2rR0=")</f>
        <v>#REF!</v>
      </c>
      <c r="AE3" s="25" t="e">
        <f>AND(#REF!,"AAAAAGT2rR4=")</f>
        <v>#REF!</v>
      </c>
      <c r="AF3" s="25" t="e">
        <f>AND(#REF!,"AAAAAGT2rR8=")</f>
        <v>#REF!</v>
      </c>
      <c r="AG3" s="25" t="e">
        <f>AND(#REF!,"AAAAAGT2rSA=")</f>
        <v>#REF!</v>
      </c>
      <c r="AH3" s="25" t="e">
        <f>AND(#REF!,"AAAAAGT2rSE=")</f>
        <v>#REF!</v>
      </c>
      <c r="AI3" s="25" t="e">
        <f>AND(#REF!,"AAAAAGT2rSI=")</f>
        <v>#REF!</v>
      </c>
      <c r="AJ3" s="25" t="e">
        <f>AND(#REF!,"AAAAAGT2rSM=")</f>
        <v>#REF!</v>
      </c>
      <c r="AK3" s="25" t="e">
        <f>AND(#REF!,"AAAAAGT2rSQ=")</f>
        <v>#REF!</v>
      </c>
      <c r="AL3" s="25" t="e">
        <f>AND(#REF!,"AAAAAGT2rSU=")</f>
        <v>#REF!</v>
      </c>
      <c r="AM3" s="25" t="e">
        <f>IF(#REF!,"AAAAAGT2rSY=",0)</f>
        <v>#REF!</v>
      </c>
      <c r="AN3" s="25" t="e">
        <f>AND(#REF!,"AAAAAGT2rSc=")</f>
        <v>#REF!</v>
      </c>
      <c r="AO3" s="25" t="e">
        <f>AND(#REF!,"AAAAAGT2rSg=")</f>
        <v>#REF!</v>
      </c>
      <c r="AP3" s="25" t="e">
        <f>AND(#REF!,"AAAAAGT2rSk=")</f>
        <v>#REF!</v>
      </c>
      <c r="AQ3" s="25" t="e">
        <f>AND(#REF!,"AAAAAGT2rSo=")</f>
        <v>#REF!</v>
      </c>
      <c r="AR3" s="25" t="e">
        <f>AND(#REF!,"AAAAAGT2rSs=")</f>
        <v>#REF!</v>
      </c>
      <c r="AS3" s="25" t="e">
        <f>AND(#REF!,"AAAAAGT2rSw=")</f>
        <v>#REF!</v>
      </c>
      <c r="AT3" s="25" t="e">
        <f>AND(#REF!,"AAAAAGT2rS0=")</f>
        <v>#REF!</v>
      </c>
      <c r="AU3" s="25" t="e">
        <f>AND(#REF!,"AAAAAGT2rS4=")</f>
        <v>#REF!</v>
      </c>
      <c r="AV3" s="25" t="e">
        <f>AND(#REF!,"AAAAAGT2rS8=")</f>
        <v>#REF!</v>
      </c>
      <c r="AW3" s="25" t="e">
        <f>AND(#REF!,"AAAAAGT2rTA=")</f>
        <v>#REF!</v>
      </c>
      <c r="AX3" s="25" t="e">
        <f>AND(#REF!,"AAAAAGT2rTE=")</f>
        <v>#REF!</v>
      </c>
      <c r="AY3" s="25" t="e">
        <f>AND(#REF!,"AAAAAGT2rTI=")</f>
        <v>#REF!</v>
      </c>
      <c r="AZ3" s="25" t="e">
        <f>AND(#REF!,"AAAAAGT2rTM=")</f>
        <v>#REF!</v>
      </c>
      <c r="BA3" s="25" t="e">
        <f>AND(#REF!,"AAAAAGT2rTQ=")</f>
        <v>#REF!</v>
      </c>
      <c r="BB3" s="25" t="e">
        <f>AND(#REF!,"AAAAAGT2rTU=")</f>
        <v>#REF!</v>
      </c>
      <c r="BC3" s="25" t="e">
        <f>AND(#REF!,"AAAAAGT2rTY=")</f>
        <v>#REF!</v>
      </c>
      <c r="BD3" s="25" t="e">
        <f>AND(#REF!,"AAAAAGT2rTc=")</f>
        <v>#REF!</v>
      </c>
      <c r="BE3" s="25" t="e">
        <f>AND(#REF!,"AAAAAGT2rTg=")</f>
        <v>#REF!</v>
      </c>
      <c r="BF3" s="25" t="e">
        <f>AND(#REF!,"AAAAAGT2rTk=")</f>
        <v>#REF!</v>
      </c>
      <c r="BG3" s="25" t="e">
        <f>AND(#REF!,"AAAAAGT2rTo=")</f>
        <v>#REF!</v>
      </c>
      <c r="BH3" s="25" t="e">
        <f>AND(#REF!,"AAAAAGT2rTs=")</f>
        <v>#REF!</v>
      </c>
      <c r="BI3" s="25" t="e">
        <f>IF(#REF!,"AAAAAGT2rTw=",0)</f>
        <v>#REF!</v>
      </c>
      <c r="BJ3" s="25" t="e">
        <f>AND(#REF!,"AAAAAGT2rT0=")</f>
        <v>#REF!</v>
      </c>
      <c r="BK3" s="25" t="e">
        <f>AND(#REF!,"AAAAAGT2rT4=")</f>
        <v>#REF!</v>
      </c>
      <c r="BL3" s="25" t="e">
        <f>AND(#REF!,"AAAAAGT2rT8=")</f>
        <v>#REF!</v>
      </c>
      <c r="BM3" s="25" t="e">
        <f>AND(#REF!,"AAAAAGT2rUA=")</f>
        <v>#REF!</v>
      </c>
      <c r="BN3" s="25" t="e">
        <f>AND(#REF!,"AAAAAGT2rUE=")</f>
        <v>#REF!</v>
      </c>
      <c r="BO3" s="25" t="e">
        <f>AND(#REF!,"AAAAAGT2rUI=")</f>
        <v>#REF!</v>
      </c>
      <c r="BP3" s="25" t="e">
        <f>AND(#REF!,"AAAAAGT2rUM=")</f>
        <v>#REF!</v>
      </c>
      <c r="BQ3" s="25" t="e">
        <f>AND(#REF!,"AAAAAGT2rUQ=")</f>
        <v>#REF!</v>
      </c>
      <c r="BR3" s="25" t="e">
        <f>AND(#REF!,"AAAAAGT2rUU=")</f>
        <v>#REF!</v>
      </c>
      <c r="BS3" s="25" t="e">
        <f>AND(#REF!,"AAAAAGT2rUY=")</f>
        <v>#REF!</v>
      </c>
      <c r="BT3" s="25" t="e">
        <f>AND(#REF!,"AAAAAGT2rUc=")</f>
        <v>#REF!</v>
      </c>
      <c r="BU3" s="25" t="e">
        <f>AND(#REF!,"AAAAAGT2rUg=")</f>
        <v>#REF!</v>
      </c>
      <c r="BV3" s="25" t="e">
        <f>AND(#REF!,"AAAAAGT2rUk=")</f>
        <v>#REF!</v>
      </c>
      <c r="BW3" s="25" t="e">
        <f>AND(#REF!,"AAAAAGT2rUo=")</f>
        <v>#REF!</v>
      </c>
      <c r="BX3" s="25" t="e">
        <f>AND(#REF!,"AAAAAGT2rUs=")</f>
        <v>#REF!</v>
      </c>
      <c r="BY3" s="25" t="e">
        <f>AND(#REF!,"AAAAAGT2rUw=")</f>
        <v>#REF!</v>
      </c>
      <c r="BZ3" s="25" t="e">
        <f>AND(#REF!,"AAAAAGT2rU0=")</f>
        <v>#REF!</v>
      </c>
      <c r="CA3" s="25" t="e">
        <f>AND(#REF!,"AAAAAGT2rU4=")</f>
        <v>#REF!</v>
      </c>
      <c r="CB3" s="25" t="e">
        <f>AND(#REF!,"AAAAAGT2rU8=")</f>
        <v>#REF!</v>
      </c>
      <c r="CC3" s="25" t="e">
        <f>AND(#REF!,"AAAAAGT2rVA=")</f>
        <v>#REF!</v>
      </c>
      <c r="CD3" s="25" t="e">
        <f>AND(#REF!,"AAAAAGT2rVE=")</f>
        <v>#REF!</v>
      </c>
      <c r="CE3" s="25" t="e">
        <f>IF(#REF!,"AAAAAGT2rVI=",0)</f>
        <v>#REF!</v>
      </c>
      <c r="CF3" s="25" t="e">
        <f>AND(#REF!,"AAAAAGT2rVM=")</f>
        <v>#REF!</v>
      </c>
      <c r="CG3" s="25" t="e">
        <f>AND(#REF!,"AAAAAGT2rVQ=")</f>
        <v>#REF!</v>
      </c>
      <c r="CH3" s="25" t="e">
        <f>AND(#REF!,"AAAAAGT2rVU=")</f>
        <v>#REF!</v>
      </c>
      <c r="CI3" s="25" t="e">
        <f>AND(#REF!,"AAAAAGT2rVY=")</f>
        <v>#REF!</v>
      </c>
      <c r="CJ3" s="25" t="e">
        <f>AND(#REF!,"AAAAAGT2rVc=")</f>
        <v>#REF!</v>
      </c>
      <c r="CK3" s="25" t="e">
        <f>AND(#REF!,"AAAAAGT2rVg=")</f>
        <v>#REF!</v>
      </c>
      <c r="CL3" s="25" t="e">
        <f>AND(#REF!,"AAAAAGT2rVk=")</f>
        <v>#REF!</v>
      </c>
      <c r="CM3" s="25" t="e">
        <f>AND(#REF!,"AAAAAGT2rVo=")</f>
        <v>#REF!</v>
      </c>
      <c r="CN3" s="25" t="e">
        <f>AND(#REF!,"AAAAAGT2rVs=")</f>
        <v>#REF!</v>
      </c>
      <c r="CO3" s="25" t="e">
        <f>AND(#REF!,"AAAAAGT2rVw=")</f>
        <v>#REF!</v>
      </c>
      <c r="CP3" s="25" t="e">
        <f>AND(#REF!,"AAAAAGT2rV0=")</f>
        <v>#REF!</v>
      </c>
      <c r="CQ3" s="25" t="e">
        <f>AND(#REF!,"AAAAAGT2rV4=")</f>
        <v>#REF!</v>
      </c>
      <c r="CR3" s="25" t="e">
        <f>AND(#REF!,"AAAAAGT2rV8=")</f>
        <v>#REF!</v>
      </c>
      <c r="CS3" s="25" t="e">
        <f>AND(#REF!,"AAAAAGT2rWA=")</f>
        <v>#REF!</v>
      </c>
      <c r="CT3" s="25" t="e">
        <f>AND(#REF!,"AAAAAGT2rWE=")</f>
        <v>#REF!</v>
      </c>
      <c r="CU3" s="25" t="e">
        <f>AND(#REF!,"AAAAAGT2rWI=")</f>
        <v>#REF!</v>
      </c>
      <c r="CV3" s="25" t="e">
        <f>AND(#REF!,"AAAAAGT2rWM=")</f>
        <v>#REF!</v>
      </c>
      <c r="CW3" s="25" t="e">
        <f>AND(#REF!,"AAAAAGT2rWQ=")</f>
        <v>#REF!</v>
      </c>
      <c r="CX3" s="25" t="e">
        <f>AND(#REF!,"AAAAAGT2rWU=")</f>
        <v>#REF!</v>
      </c>
      <c r="CY3" s="25" t="e">
        <f>AND(#REF!,"AAAAAGT2rWY=")</f>
        <v>#REF!</v>
      </c>
      <c r="CZ3" s="25" t="e">
        <f>AND(#REF!,"AAAAAGT2rWc=")</f>
        <v>#REF!</v>
      </c>
      <c r="DA3" s="25" t="e">
        <f>IF(#REF!,"AAAAAGT2rWg=",0)</f>
        <v>#REF!</v>
      </c>
      <c r="DB3" s="25" t="e">
        <f>AND(#REF!,"AAAAAGT2rWk=")</f>
        <v>#REF!</v>
      </c>
      <c r="DC3" s="25" t="e">
        <f>AND(#REF!,"AAAAAGT2rWo=")</f>
        <v>#REF!</v>
      </c>
      <c r="DD3" s="25" t="e">
        <f>AND(#REF!,"AAAAAGT2rWs=")</f>
        <v>#REF!</v>
      </c>
      <c r="DE3" s="25" t="e">
        <f>AND(#REF!,"AAAAAGT2rWw=")</f>
        <v>#REF!</v>
      </c>
      <c r="DF3" s="25" t="e">
        <f>AND(#REF!,"AAAAAGT2rW0=")</f>
        <v>#REF!</v>
      </c>
      <c r="DG3" s="25" t="e">
        <f>AND(#REF!,"AAAAAGT2rW4=")</f>
        <v>#REF!</v>
      </c>
      <c r="DH3" s="25" t="e">
        <f>AND(#REF!,"AAAAAGT2rW8=")</f>
        <v>#REF!</v>
      </c>
      <c r="DI3" s="25" t="e">
        <f>AND(#REF!,"AAAAAGT2rXA=")</f>
        <v>#REF!</v>
      </c>
      <c r="DJ3" s="25" t="e">
        <f>AND(#REF!,"AAAAAGT2rXE=")</f>
        <v>#REF!</v>
      </c>
      <c r="DK3" s="25" t="e">
        <f>AND(#REF!,"AAAAAGT2rXI=")</f>
        <v>#REF!</v>
      </c>
      <c r="DL3" s="25" t="e">
        <f>AND(#REF!,"AAAAAGT2rXM=")</f>
        <v>#REF!</v>
      </c>
      <c r="DM3" s="25" t="e">
        <f>AND(#REF!,"AAAAAGT2rXQ=")</f>
        <v>#REF!</v>
      </c>
      <c r="DN3" s="25" t="e">
        <f>AND(#REF!,"AAAAAGT2rXU=")</f>
        <v>#REF!</v>
      </c>
      <c r="DO3" s="25" t="e">
        <f>AND(#REF!,"AAAAAGT2rXY=")</f>
        <v>#REF!</v>
      </c>
      <c r="DP3" s="25" t="e">
        <f>AND(#REF!,"AAAAAGT2rXc=")</f>
        <v>#REF!</v>
      </c>
      <c r="DQ3" s="25" t="e">
        <f>AND(#REF!,"AAAAAGT2rXg=")</f>
        <v>#REF!</v>
      </c>
      <c r="DR3" s="25" t="e">
        <f>AND(#REF!,"AAAAAGT2rXk=")</f>
        <v>#REF!</v>
      </c>
      <c r="DS3" s="25" t="e">
        <f>AND(#REF!,"AAAAAGT2rXo=")</f>
        <v>#REF!</v>
      </c>
      <c r="DT3" s="25" t="e">
        <f>AND(#REF!,"AAAAAGT2rXs=")</f>
        <v>#REF!</v>
      </c>
      <c r="DU3" s="25" t="e">
        <f>AND(#REF!,"AAAAAGT2rXw=")</f>
        <v>#REF!</v>
      </c>
      <c r="DV3" s="25" t="e">
        <f>AND(#REF!,"AAAAAGT2rX0=")</f>
        <v>#REF!</v>
      </c>
      <c r="DW3" s="25" t="e">
        <f>IF(#REF!,"AAAAAGT2rX4=",0)</f>
        <v>#REF!</v>
      </c>
      <c r="DX3" s="25" t="e">
        <f>AND(#REF!,"AAAAAGT2rX8=")</f>
        <v>#REF!</v>
      </c>
      <c r="DY3" s="25" t="e">
        <f>AND(#REF!,"AAAAAGT2rYA=")</f>
        <v>#REF!</v>
      </c>
      <c r="DZ3" s="25" t="e">
        <f>AND(#REF!,"AAAAAGT2rYE=")</f>
        <v>#REF!</v>
      </c>
      <c r="EA3" s="25" t="e">
        <f>AND(#REF!,"AAAAAGT2rYI=")</f>
        <v>#REF!</v>
      </c>
      <c r="EB3" s="25" t="e">
        <f>AND(#REF!,"AAAAAGT2rYM=")</f>
        <v>#REF!</v>
      </c>
      <c r="EC3" s="25" t="e">
        <f>AND(#REF!,"AAAAAGT2rYQ=")</f>
        <v>#REF!</v>
      </c>
      <c r="ED3" s="25" t="e">
        <f>AND(#REF!,"AAAAAGT2rYU=")</f>
        <v>#REF!</v>
      </c>
      <c r="EE3" s="25" t="e">
        <f>AND(#REF!,"AAAAAGT2rYY=")</f>
        <v>#REF!</v>
      </c>
      <c r="EF3" s="25" t="e">
        <f>AND(#REF!,"AAAAAGT2rYc=")</f>
        <v>#REF!</v>
      </c>
      <c r="EG3" s="25" t="e">
        <f>AND(#REF!,"AAAAAGT2rYg=")</f>
        <v>#REF!</v>
      </c>
      <c r="EH3" s="25" t="e">
        <f>AND(#REF!,"AAAAAGT2rYk=")</f>
        <v>#REF!</v>
      </c>
      <c r="EI3" s="25" t="e">
        <f>AND(#REF!,"AAAAAGT2rYo=")</f>
        <v>#REF!</v>
      </c>
      <c r="EJ3" s="25" t="e">
        <f>AND(#REF!,"AAAAAGT2rYs=")</f>
        <v>#REF!</v>
      </c>
      <c r="EK3" s="25" t="e">
        <f>AND(#REF!,"AAAAAGT2rYw=")</f>
        <v>#REF!</v>
      </c>
      <c r="EL3" s="25" t="e">
        <f>AND(#REF!,"AAAAAGT2rY0=")</f>
        <v>#REF!</v>
      </c>
      <c r="EM3" s="25" t="e">
        <f>AND(#REF!,"AAAAAGT2rY4=")</f>
        <v>#REF!</v>
      </c>
      <c r="EN3" s="25" t="e">
        <f>AND(#REF!,"AAAAAGT2rY8=")</f>
        <v>#REF!</v>
      </c>
      <c r="EO3" s="25" t="e">
        <f>AND(#REF!,"AAAAAGT2rZA=")</f>
        <v>#REF!</v>
      </c>
      <c r="EP3" s="25" t="e">
        <f>AND(#REF!,"AAAAAGT2rZE=")</f>
        <v>#REF!</v>
      </c>
      <c r="EQ3" s="25" t="e">
        <f>AND(#REF!,"AAAAAGT2rZI=")</f>
        <v>#REF!</v>
      </c>
      <c r="ER3" s="25" t="e">
        <f>AND(#REF!,"AAAAAGT2rZM=")</f>
        <v>#REF!</v>
      </c>
      <c r="ES3" s="25" t="e">
        <f>IF(#REF!,"AAAAAGT2rZQ=",0)</f>
        <v>#REF!</v>
      </c>
      <c r="ET3" s="25" t="e">
        <f>AND(#REF!,"AAAAAGT2rZU=")</f>
        <v>#REF!</v>
      </c>
      <c r="EU3" s="25" t="e">
        <f>AND(#REF!,"AAAAAGT2rZY=")</f>
        <v>#REF!</v>
      </c>
      <c r="EV3" s="25" t="e">
        <f>AND(#REF!,"AAAAAGT2rZc=")</f>
        <v>#REF!</v>
      </c>
      <c r="EW3" s="25" t="e">
        <f>AND(#REF!,"AAAAAGT2rZg=")</f>
        <v>#REF!</v>
      </c>
      <c r="EX3" s="25" t="e">
        <f>AND(#REF!,"AAAAAGT2rZk=")</f>
        <v>#REF!</v>
      </c>
      <c r="EY3" s="25" t="e">
        <f>AND(#REF!,"AAAAAGT2rZo=")</f>
        <v>#REF!</v>
      </c>
      <c r="EZ3" s="25" t="e">
        <f>AND(#REF!,"AAAAAGT2rZs=")</f>
        <v>#REF!</v>
      </c>
      <c r="FA3" s="25" t="e">
        <f>AND(#REF!,"AAAAAGT2rZw=")</f>
        <v>#REF!</v>
      </c>
      <c r="FB3" s="25" t="e">
        <f>AND(#REF!,"AAAAAGT2rZ0=")</f>
        <v>#REF!</v>
      </c>
      <c r="FC3" s="25" t="e">
        <f>AND(#REF!,"AAAAAGT2rZ4=")</f>
        <v>#REF!</v>
      </c>
      <c r="FD3" s="25" t="e">
        <f>AND(#REF!,"AAAAAGT2rZ8=")</f>
        <v>#REF!</v>
      </c>
      <c r="FE3" s="25" t="e">
        <f>AND(#REF!,"AAAAAGT2raA=")</f>
        <v>#REF!</v>
      </c>
      <c r="FF3" s="25" t="e">
        <f>AND(#REF!,"AAAAAGT2raE=")</f>
        <v>#REF!</v>
      </c>
      <c r="FG3" s="25" t="e">
        <f>AND(#REF!,"AAAAAGT2raI=")</f>
        <v>#REF!</v>
      </c>
      <c r="FH3" s="25" t="e">
        <f>AND(#REF!,"AAAAAGT2raM=")</f>
        <v>#REF!</v>
      </c>
      <c r="FI3" s="25" t="e">
        <f>AND(#REF!,"AAAAAGT2raQ=")</f>
        <v>#REF!</v>
      </c>
      <c r="FJ3" s="25" t="e">
        <f>AND(#REF!,"AAAAAGT2raU=")</f>
        <v>#REF!</v>
      </c>
      <c r="FK3" s="25" t="e">
        <f>AND(#REF!,"AAAAAGT2raY=")</f>
        <v>#REF!</v>
      </c>
      <c r="FL3" s="25" t="e">
        <f>AND(#REF!,"AAAAAGT2rac=")</f>
        <v>#REF!</v>
      </c>
      <c r="FM3" s="25" t="e">
        <f>AND(#REF!,"AAAAAGT2rag=")</f>
        <v>#REF!</v>
      </c>
      <c r="FN3" s="25" t="e">
        <f>AND(#REF!,"AAAAAGT2rak=")</f>
        <v>#REF!</v>
      </c>
      <c r="FO3" s="25" t="e">
        <f>IF(#REF!,"AAAAAGT2rao=",0)</f>
        <v>#REF!</v>
      </c>
      <c r="FP3" s="25" t="e">
        <f>AND(#REF!,"AAAAAGT2ras=")</f>
        <v>#REF!</v>
      </c>
      <c r="FQ3" s="25" t="e">
        <f>AND(#REF!,"AAAAAGT2raw=")</f>
        <v>#REF!</v>
      </c>
      <c r="FR3" s="25" t="e">
        <f>AND(#REF!,"AAAAAGT2ra0=")</f>
        <v>#REF!</v>
      </c>
      <c r="FS3" s="25" t="e">
        <f>AND(#REF!,"AAAAAGT2ra4=")</f>
        <v>#REF!</v>
      </c>
      <c r="FT3" s="25" t="e">
        <f>AND(#REF!,"AAAAAGT2ra8=")</f>
        <v>#REF!</v>
      </c>
      <c r="FU3" s="25" t="e">
        <f>AND(#REF!,"AAAAAGT2rbA=")</f>
        <v>#REF!</v>
      </c>
      <c r="FV3" s="25" t="e">
        <f>AND(#REF!,"AAAAAGT2rbE=")</f>
        <v>#REF!</v>
      </c>
      <c r="FW3" s="25" t="e">
        <f>AND(#REF!,"AAAAAGT2rbI=")</f>
        <v>#REF!</v>
      </c>
      <c r="FX3" s="25" t="e">
        <f>AND(#REF!,"AAAAAGT2rbM=")</f>
        <v>#REF!</v>
      </c>
      <c r="FY3" s="25" t="e">
        <f>AND(#REF!,"AAAAAGT2rbQ=")</f>
        <v>#REF!</v>
      </c>
      <c r="FZ3" s="25" t="e">
        <f>AND(#REF!,"AAAAAGT2rbU=")</f>
        <v>#REF!</v>
      </c>
      <c r="GA3" s="25" t="e">
        <f>AND(#REF!,"AAAAAGT2rbY=")</f>
        <v>#REF!</v>
      </c>
      <c r="GB3" s="25" t="e">
        <f>AND(#REF!,"AAAAAGT2rbc=")</f>
        <v>#REF!</v>
      </c>
      <c r="GC3" s="25" t="e">
        <f>AND(#REF!,"AAAAAGT2rbg=")</f>
        <v>#REF!</v>
      </c>
      <c r="GD3" s="25" t="e">
        <f>AND(#REF!,"AAAAAGT2rbk=")</f>
        <v>#REF!</v>
      </c>
      <c r="GE3" s="25" t="e">
        <f>AND(#REF!,"AAAAAGT2rbo=")</f>
        <v>#REF!</v>
      </c>
      <c r="GF3" s="25" t="e">
        <f>AND(#REF!,"AAAAAGT2rbs=")</f>
        <v>#REF!</v>
      </c>
      <c r="GG3" s="25" t="e">
        <f>AND(#REF!,"AAAAAGT2rbw=")</f>
        <v>#REF!</v>
      </c>
      <c r="GH3" s="25" t="e">
        <f>AND(#REF!,"AAAAAGT2rb0=")</f>
        <v>#REF!</v>
      </c>
      <c r="GI3" s="25" t="e">
        <f>AND(#REF!,"AAAAAGT2rb4=")</f>
        <v>#REF!</v>
      </c>
      <c r="GJ3" s="25" t="e">
        <f>AND(#REF!,"AAAAAGT2rb8=")</f>
        <v>#REF!</v>
      </c>
      <c r="GK3" s="25" t="e">
        <f>IF(#REF!,"AAAAAGT2rcA=",0)</f>
        <v>#REF!</v>
      </c>
      <c r="GL3" s="25" t="e">
        <f>AND(#REF!,"AAAAAGT2rcE=")</f>
        <v>#REF!</v>
      </c>
      <c r="GM3" s="25" t="e">
        <f>AND(#REF!,"AAAAAGT2rcI=")</f>
        <v>#REF!</v>
      </c>
      <c r="GN3" s="25" t="e">
        <f>AND(#REF!,"AAAAAGT2rcM=")</f>
        <v>#REF!</v>
      </c>
      <c r="GO3" s="25" t="e">
        <f>AND(#REF!,"AAAAAGT2rcQ=")</f>
        <v>#REF!</v>
      </c>
      <c r="GP3" s="25" t="e">
        <f>AND(#REF!,"AAAAAGT2rcU=")</f>
        <v>#REF!</v>
      </c>
      <c r="GQ3" s="25" t="e">
        <f>AND(#REF!,"AAAAAGT2rcY=")</f>
        <v>#REF!</v>
      </c>
      <c r="GR3" s="25" t="e">
        <f>AND(#REF!,"AAAAAGT2rcc=")</f>
        <v>#REF!</v>
      </c>
      <c r="GS3" s="25" t="e">
        <f>AND(#REF!,"AAAAAGT2rcg=")</f>
        <v>#REF!</v>
      </c>
      <c r="GT3" s="25" t="e">
        <f>AND(#REF!,"AAAAAGT2rck=")</f>
        <v>#REF!</v>
      </c>
      <c r="GU3" s="25" t="e">
        <f>AND(#REF!,"AAAAAGT2rco=")</f>
        <v>#REF!</v>
      </c>
      <c r="GV3" s="25" t="e">
        <f>AND(#REF!,"AAAAAGT2rcs=")</f>
        <v>#REF!</v>
      </c>
      <c r="GW3" s="25" t="e">
        <f>AND(#REF!,"AAAAAGT2rcw=")</f>
        <v>#REF!</v>
      </c>
      <c r="GX3" s="25" t="e">
        <f>AND(#REF!,"AAAAAGT2rc0=")</f>
        <v>#REF!</v>
      </c>
      <c r="GY3" s="25" t="e">
        <f>AND(#REF!,"AAAAAGT2rc4=")</f>
        <v>#REF!</v>
      </c>
      <c r="GZ3" s="25" t="e">
        <f>AND(#REF!,"AAAAAGT2rc8=")</f>
        <v>#REF!</v>
      </c>
      <c r="HA3" s="25" t="e">
        <f>AND(#REF!,"AAAAAGT2rdA=")</f>
        <v>#REF!</v>
      </c>
      <c r="HB3" s="25" t="e">
        <f>AND(#REF!,"AAAAAGT2rdE=")</f>
        <v>#REF!</v>
      </c>
      <c r="HC3" s="25" t="e">
        <f>AND(#REF!,"AAAAAGT2rdI=")</f>
        <v>#REF!</v>
      </c>
      <c r="HD3" s="25" t="e">
        <f>AND(#REF!,"AAAAAGT2rdM=")</f>
        <v>#REF!</v>
      </c>
      <c r="HE3" s="25" t="e">
        <f>AND(#REF!,"AAAAAGT2rdQ=")</f>
        <v>#REF!</v>
      </c>
      <c r="HF3" s="25" t="e">
        <f>AND(#REF!,"AAAAAGT2rdU=")</f>
        <v>#REF!</v>
      </c>
      <c r="HG3" s="25" t="e">
        <f>IF(#REF!,"AAAAAGT2rdY=",0)</f>
        <v>#REF!</v>
      </c>
      <c r="HH3" s="25" t="e">
        <f>AND(#REF!,"AAAAAGT2rdc=")</f>
        <v>#REF!</v>
      </c>
      <c r="HI3" s="25" t="e">
        <f>AND(#REF!,"AAAAAGT2rdg=")</f>
        <v>#REF!</v>
      </c>
      <c r="HJ3" s="25" t="e">
        <f>AND(#REF!,"AAAAAGT2rdk=")</f>
        <v>#REF!</v>
      </c>
      <c r="HK3" s="25" t="e">
        <f>AND(#REF!,"AAAAAGT2rdo=")</f>
        <v>#REF!</v>
      </c>
      <c r="HL3" s="25" t="e">
        <f>AND(#REF!,"AAAAAGT2rds=")</f>
        <v>#REF!</v>
      </c>
      <c r="HM3" s="25" t="e">
        <f>AND(#REF!,"AAAAAGT2rdw=")</f>
        <v>#REF!</v>
      </c>
      <c r="HN3" s="25" t="e">
        <f>AND(#REF!,"AAAAAGT2rd0=")</f>
        <v>#REF!</v>
      </c>
      <c r="HO3" s="25" t="e">
        <f>AND(#REF!,"AAAAAGT2rd4=")</f>
        <v>#REF!</v>
      </c>
      <c r="HP3" s="25" t="e">
        <f>AND(#REF!,"AAAAAGT2rd8=")</f>
        <v>#REF!</v>
      </c>
      <c r="HQ3" s="25" t="e">
        <f>AND(#REF!,"AAAAAGT2reA=")</f>
        <v>#REF!</v>
      </c>
      <c r="HR3" s="25" t="e">
        <f>AND(#REF!,"AAAAAGT2reE=")</f>
        <v>#REF!</v>
      </c>
      <c r="HS3" s="25" t="e">
        <f>AND(#REF!,"AAAAAGT2reI=")</f>
        <v>#REF!</v>
      </c>
      <c r="HT3" s="25" t="e">
        <f>AND(#REF!,"AAAAAGT2reM=")</f>
        <v>#REF!</v>
      </c>
      <c r="HU3" s="25" t="e">
        <f>AND(#REF!,"AAAAAGT2reQ=")</f>
        <v>#REF!</v>
      </c>
      <c r="HV3" s="25" t="e">
        <f>AND(#REF!,"AAAAAGT2reU=")</f>
        <v>#REF!</v>
      </c>
      <c r="HW3" s="25" t="e">
        <f>AND(#REF!,"AAAAAGT2reY=")</f>
        <v>#REF!</v>
      </c>
      <c r="HX3" s="25" t="e">
        <f>AND(#REF!,"AAAAAGT2rec=")</f>
        <v>#REF!</v>
      </c>
      <c r="HY3" s="25" t="e">
        <f>AND(#REF!,"AAAAAGT2reg=")</f>
        <v>#REF!</v>
      </c>
      <c r="HZ3" s="25" t="e">
        <f>AND(#REF!,"AAAAAGT2rek=")</f>
        <v>#REF!</v>
      </c>
      <c r="IA3" s="25" t="e">
        <f>AND(#REF!,"AAAAAGT2reo=")</f>
        <v>#REF!</v>
      </c>
      <c r="IB3" s="25" t="e">
        <f>AND(#REF!,"AAAAAGT2res=")</f>
        <v>#REF!</v>
      </c>
      <c r="IC3" s="25" t="e">
        <f>IF(#REF!,"AAAAAGT2rew=",0)</f>
        <v>#REF!</v>
      </c>
      <c r="ID3" s="25" t="e">
        <f>AND(#REF!,"AAAAAGT2re0=")</f>
        <v>#REF!</v>
      </c>
      <c r="IE3" s="25" t="e">
        <f>AND(#REF!,"AAAAAGT2re4=")</f>
        <v>#REF!</v>
      </c>
      <c r="IF3" s="25" t="e">
        <f>AND(#REF!,"AAAAAGT2re8=")</f>
        <v>#REF!</v>
      </c>
      <c r="IG3" s="25" t="e">
        <f>AND(#REF!,"AAAAAGT2rfA=")</f>
        <v>#REF!</v>
      </c>
      <c r="IH3" s="25" t="e">
        <f>AND(#REF!,"AAAAAGT2rfE=")</f>
        <v>#REF!</v>
      </c>
      <c r="II3" s="25" t="e">
        <f>AND(#REF!,"AAAAAGT2rfI=")</f>
        <v>#REF!</v>
      </c>
      <c r="IJ3" s="25" t="e">
        <f>AND(#REF!,"AAAAAGT2rfM=")</f>
        <v>#REF!</v>
      </c>
      <c r="IK3" s="25" t="e">
        <f>AND(#REF!,"AAAAAGT2rfQ=")</f>
        <v>#REF!</v>
      </c>
      <c r="IL3" s="25" t="e">
        <f>AND(#REF!,"AAAAAGT2rfU=")</f>
        <v>#REF!</v>
      </c>
      <c r="IM3" s="25" t="e">
        <f>AND(#REF!,"AAAAAGT2rfY=")</f>
        <v>#REF!</v>
      </c>
      <c r="IN3" s="25" t="e">
        <f>AND(#REF!,"AAAAAGT2rfc=")</f>
        <v>#REF!</v>
      </c>
      <c r="IO3" s="25" t="e">
        <f>AND(#REF!,"AAAAAGT2rfg=")</f>
        <v>#REF!</v>
      </c>
      <c r="IP3" s="25" t="e">
        <f>AND(#REF!,"AAAAAGT2rfk=")</f>
        <v>#REF!</v>
      </c>
      <c r="IQ3" s="25" t="e">
        <f>AND(#REF!,"AAAAAGT2rfo=")</f>
        <v>#REF!</v>
      </c>
      <c r="IR3" s="25" t="e">
        <f>AND(#REF!,"AAAAAGT2rfs=")</f>
        <v>#REF!</v>
      </c>
      <c r="IS3" s="25" t="e">
        <f>AND(#REF!,"AAAAAGT2rfw=")</f>
        <v>#REF!</v>
      </c>
      <c r="IT3" s="25" t="e">
        <f>AND(#REF!,"AAAAAGT2rf0=")</f>
        <v>#REF!</v>
      </c>
      <c r="IU3" s="25" t="e">
        <f>AND(#REF!,"AAAAAGT2rf4=")</f>
        <v>#REF!</v>
      </c>
      <c r="IV3" s="25" t="e">
        <f>AND(#REF!,"AAAAAGT2rf8=")</f>
        <v>#REF!</v>
      </c>
    </row>
    <row r="4" spans="1:256" ht="12.75" customHeight="1" x14ac:dyDescent="0.2">
      <c r="A4" s="25" t="e">
        <f>AND(#REF!,"AAAAAG/r3QA=")</f>
        <v>#REF!</v>
      </c>
      <c r="B4" s="25" t="e">
        <f>AND(#REF!,"AAAAAG/r3QE=")</f>
        <v>#REF!</v>
      </c>
      <c r="C4" s="25" t="e">
        <f>IF(#REF!,"AAAAAG/r3QI=",0)</f>
        <v>#REF!</v>
      </c>
      <c r="D4" s="25" t="e">
        <f>AND(#REF!,"AAAAAG/r3QM=")</f>
        <v>#REF!</v>
      </c>
      <c r="E4" s="25" t="e">
        <f>AND(#REF!,"AAAAAG/r3QQ=")</f>
        <v>#REF!</v>
      </c>
      <c r="F4" s="25" t="e">
        <f>AND(#REF!,"AAAAAG/r3QU=")</f>
        <v>#REF!</v>
      </c>
      <c r="G4" s="25" t="e">
        <f>AND(#REF!,"AAAAAG/r3QY=")</f>
        <v>#REF!</v>
      </c>
      <c r="H4" s="25" t="e">
        <f>AND(#REF!,"AAAAAG/r3Qc=")</f>
        <v>#REF!</v>
      </c>
      <c r="I4" s="25" t="e">
        <f>AND(#REF!,"AAAAAG/r3Qg=")</f>
        <v>#REF!</v>
      </c>
      <c r="J4" s="25" t="e">
        <f>AND(#REF!,"AAAAAG/r3Qk=")</f>
        <v>#REF!</v>
      </c>
      <c r="K4" s="25" t="e">
        <f>AND(#REF!,"AAAAAG/r3Qo=")</f>
        <v>#REF!</v>
      </c>
      <c r="L4" s="25" t="e">
        <f>AND(#REF!,"AAAAAG/r3Qs=")</f>
        <v>#REF!</v>
      </c>
      <c r="M4" s="25" t="e">
        <f>AND(#REF!,"AAAAAG/r3Qw=")</f>
        <v>#REF!</v>
      </c>
      <c r="N4" s="25" t="e">
        <f>AND(#REF!,"AAAAAG/r3Q0=")</f>
        <v>#REF!</v>
      </c>
      <c r="O4" s="25" t="e">
        <f>AND(#REF!,"AAAAAG/r3Q4=")</f>
        <v>#REF!</v>
      </c>
      <c r="P4" s="25" t="e">
        <f>AND(#REF!,"AAAAAG/r3Q8=")</f>
        <v>#REF!</v>
      </c>
      <c r="Q4" s="25" t="e">
        <f>AND(#REF!,"AAAAAG/r3RA=")</f>
        <v>#REF!</v>
      </c>
      <c r="R4" s="25" t="e">
        <f>AND(#REF!,"AAAAAG/r3RE=")</f>
        <v>#REF!</v>
      </c>
      <c r="S4" s="25" t="e">
        <f>AND(#REF!,"AAAAAG/r3RI=")</f>
        <v>#REF!</v>
      </c>
      <c r="T4" s="25" t="e">
        <f>AND(#REF!,"AAAAAG/r3RM=")</f>
        <v>#REF!</v>
      </c>
      <c r="U4" s="25" t="e">
        <f>AND(#REF!,"AAAAAG/r3RQ=")</f>
        <v>#REF!</v>
      </c>
      <c r="V4" s="25" t="e">
        <f>AND(#REF!,"AAAAAG/r3RU=")</f>
        <v>#REF!</v>
      </c>
      <c r="W4" s="25" t="e">
        <f>AND(#REF!,"AAAAAG/r3RY=")</f>
        <v>#REF!</v>
      </c>
      <c r="X4" s="25" t="e">
        <f>AND(#REF!,"AAAAAG/r3Rc=")</f>
        <v>#REF!</v>
      </c>
      <c r="Y4" s="25" t="e">
        <f>IF(#REF!,"AAAAAG/r3Rg=",0)</f>
        <v>#REF!</v>
      </c>
      <c r="Z4" s="25" t="e">
        <f>AND(#REF!,"AAAAAG/r3Rk=")</f>
        <v>#REF!</v>
      </c>
      <c r="AA4" s="25" t="e">
        <f>AND(#REF!,"AAAAAG/r3Ro=")</f>
        <v>#REF!</v>
      </c>
      <c r="AB4" s="25" t="e">
        <f>AND(#REF!,"AAAAAG/r3Rs=")</f>
        <v>#REF!</v>
      </c>
      <c r="AC4" s="25" t="e">
        <f>AND(#REF!,"AAAAAG/r3Rw=")</f>
        <v>#REF!</v>
      </c>
      <c r="AD4" s="25" t="e">
        <f>AND(#REF!,"AAAAAG/r3R0=")</f>
        <v>#REF!</v>
      </c>
      <c r="AE4" s="25" t="e">
        <f>AND(#REF!,"AAAAAG/r3R4=")</f>
        <v>#REF!</v>
      </c>
      <c r="AF4" s="25" t="e">
        <f>AND(#REF!,"AAAAAG/r3R8=")</f>
        <v>#REF!</v>
      </c>
      <c r="AG4" s="25" t="e">
        <f>AND(#REF!,"AAAAAG/r3SA=")</f>
        <v>#REF!</v>
      </c>
      <c r="AH4" s="25" t="e">
        <f>AND(#REF!,"AAAAAG/r3SE=")</f>
        <v>#REF!</v>
      </c>
      <c r="AI4" s="25" t="e">
        <f>AND(#REF!,"AAAAAG/r3SI=")</f>
        <v>#REF!</v>
      </c>
      <c r="AJ4" s="25" t="e">
        <f>AND(#REF!,"AAAAAG/r3SM=")</f>
        <v>#REF!</v>
      </c>
      <c r="AK4" s="25" t="e">
        <f>AND(#REF!,"AAAAAG/r3SQ=")</f>
        <v>#REF!</v>
      </c>
      <c r="AL4" s="25" t="e">
        <f>AND(#REF!,"AAAAAG/r3SU=")</f>
        <v>#REF!</v>
      </c>
      <c r="AM4" s="25" t="e">
        <f>AND(#REF!,"AAAAAG/r3SY=")</f>
        <v>#REF!</v>
      </c>
      <c r="AN4" s="25" t="e">
        <f>AND(#REF!,"AAAAAG/r3Sc=")</f>
        <v>#REF!</v>
      </c>
      <c r="AO4" s="25" t="e">
        <f>AND(#REF!,"AAAAAG/r3Sg=")</f>
        <v>#REF!</v>
      </c>
      <c r="AP4" s="25" t="e">
        <f>AND(#REF!,"AAAAAG/r3Sk=")</f>
        <v>#REF!</v>
      </c>
      <c r="AQ4" s="25" t="e">
        <f>AND(#REF!,"AAAAAG/r3So=")</f>
        <v>#REF!</v>
      </c>
      <c r="AR4" s="25" t="e">
        <f>AND(#REF!,"AAAAAG/r3Ss=")</f>
        <v>#REF!</v>
      </c>
      <c r="AS4" s="25" t="e">
        <f>AND(#REF!,"AAAAAG/r3Sw=")</f>
        <v>#REF!</v>
      </c>
      <c r="AT4" s="25" t="e">
        <f>AND(#REF!,"AAAAAG/r3S0=")</f>
        <v>#REF!</v>
      </c>
      <c r="AU4" s="25" t="e">
        <f>IF(#REF!,"AAAAAG/r3S4=",0)</f>
        <v>#REF!</v>
      </c>
      <c r="AV4" s="25" t="e">
        <f>AND(#REF!,"AAAAAG/r3S8=")</f>
        <v>#REF!</v>
      </c>
      <c r="AW4" s="25" t="e">
        <f>AND(#REF!,"AAAAAG/r3TA=")</f>
        <v>#REF!</v>
      </c>
      <c r="AX4" s="25" t="e">
        <f>AND(#REF!,"AAAAAG/r3TE=")</f>
        <v>#REF!</v>
      </c>
      <c r="AY4" s="25" t="e">
        <f>AND(#REF!,"AAAAAG/r3TI=")</f>
        <v>#REF!</v>
      </c>
      <c r="AZ4" s="25" t="e">
        <f>AND(#REF!,"AAAAAG/r3TM=")</f>
        <v>#REF!</v>
      </c>
      <c r="BA4" s="25" t="e">
        <f>AND(#REF!,"AAAAAG/r3TQ=")</f>
        <v>#REF!</v>
      </c>
      <c r="BB4" s="25" t="e">
        <f>AND(#REF!,"AAAAAG/r3TU=")</f>
        <v>#REF!</v>
      </c>
      <c r="BC4" s="25" t="e">
        <f>AND(#REF!,"AAAAAG/r3TY=")</f>
        <v>#REF!</v>
      </c>
      <c r="BD4" s="25" t="e">
        <f>AND(#REF!,"AAAAAG/r3Tc=")</f>
        <v>#REF!</v>
      </c>
      <c r="BE4" s="25" t="e">
        <f>AND(#REF!,"AAAAAG/r3Tg=")</f>
        <v>#REF!</v>
      </c>
      <c r="BF4" s="25" t="e">
        <f>AND(#REF!,"AAAAAG/r3Tk=")</f>
        <v>#REF!</v>
      </c>
      <c r="BG4" s="25" t="e">
        <f>AND(#REF!,"AAAAAG/r3To=")</f>
        <v>#REF!</v>
      </c>
      <c r="BH4" s="25" t="e">
        <f>AND(#REF!,"AAAAAG/r3Ts=")</f>
        <v>#REF!</v>
      </c>
      <c r="BI4" s="25" t="e">
        <f>AND(#REF!,"AAAAAG/r3Tw=")</f>
        <v>#REF!</v>
      </c>
      <c r="BJ4" s="25" t="e">
        <f>AND(#REF!,"AAAAAG/r3T0=")</f>
        <v>#REF!</v>
      </c>
      <c r="BK4" s="25" t="e">
        <f>AND(#REF!,"AAAAAG/r3T4=")</f>
        <v>#REF!</v>
      </c>
      <c r="BL4" s="25" t="e">
        <f>AND(#REF!,"AAAAAG/r3T8=")</f>
        <v>#REF!</v>
      </c>
      <c r="BM4" s="25" t="e">
        <f>AND(#REF!,"AAAAAG/r3UA=")</f>
        <v>#REF!</v>
      </c>
      <c r="BN4" s="25" t="e">
        <f>AND(#REF!,"AAAAAG/r3UE=")</f>
        <v>#REF!</v>
      </c>
      <c r="BO4" s="25" t="e">
        <f>AND(#REF!,"AAAAAG/r3UI=")</f>
        <v>#REF!</v>
      </c>
      <c r="BP4" s="25" t="e">
        <f>AND(#REF!,"AAAAAG/r3UM=")</f>
        <v>#REF!</v>
      </c>
      <c r="BQ4" s="25" t="e">
        <f>IF(#REF!,"AAAAAG/r3UQ=",0)</f>
        <v>#REF!</v>
      </c>
      <c r="BR4" s="25" t="e">
        <f>AND(#REF!,"AAAAAG/r3UU=")</f>
        <v>#REF!</v>
      </c>
      <c r="BS4" s="25" t="e">
        <f>AND(#REF!,"AAAAAG/r3UY=")</f>
        <v>#REF!</v>
      </c>
      <c r="BT4" s="25" t="e">
        <f>AND(#REF!,"AAAAAG/r3Uc=")</f>
        <v>#REF!</v>
      </c>
      <c r="BU4" s="25" t="e">
        <f>AND(#REF!,"AAAAAG/r3Ug=")</f>
        <v>#REF!</v>
      </c>
      <c r="BV4" s="25" t="e">
        <f>AND(#REF!,"AAAAAG/r3Uk=")</f>
        <v>#REF!</v>
      </c>
      <c r="BW4" s="25" t="e">
        <f>AND(#REF!,"AAAAAG/r3Uo=")</f>
        <v>#REF!</v>
      </c>
      <c r="BX4" s="25" t="e">
        <f>AND(#REF!,"AAAAAG/r3Us=")</f>
        <v>#REF!</v>
      </c>
      <c r="BY4" s="25" t="e">
        <f>AND(#REF!,"AAAAAG/r3Uw=")</f>
        <v>#REF!</v>
      </c>
      <c r="BZ4" s="25" t="e">
        <f>AND(#REF!,"AAAAAG/r3U0=")</f>
        <v>#REF!</v>
      </c>
      <c r="CA4" s="25" t="e">
        <f>AND(#REF!,"AAAAAG/r3U4=")</f>
        <v>#REF!</v>
      </c>
      <c r="CB4" s="25" t="e">
        <f>AND(#REF!,"AAAAAG/r3U8=")</f>
        <v>#REF!</v>
      </c>
      <c r="CC4" s="25" t="e">
        <f>AND(#REF!,"AAAAAG/r3VA=")</f>
        <v>#REF!</v>
      </c>
      <c r="CD4" s="25" t="e">
        <f>AND(#REF!,"AAAAAG/r3VE=")</f>
        <v>#REF!</v>
      </c>
      <c r="CE4" s="25" t="e">
        <f>AND(#REF!,"AAAAAG/r3VI=")</f>
        <v>#REF!</v>
      </c>
      <c r="CF4" s="25" t="e">
        <f>AND(#REF!,"AAAAAG/r3VM=")</f>
        <v>#REF!</v>
      </c>
      <c r="CG4" s="25" t="e">
        <f>AND(#REF!,"AAAAAG/r3VQ=")</f>
        <v>#REF!</v>
      </c>
      <c r="CH4" s="25" t="e">
        <f>AND(#REF!,"AAAAAG/r3VU=")</f>
        <v>#REF!</v>
      </c>
      <c r="CI4" s="25" t="e">
        <f>AND(#REF!,"AAAAAG/r3VY=")</f>
        <v>#REF!</v>
      </c>
      <c r="CJ4" s="25" t="e">
        <f>AND(#REF!,"AAAAAG/r3Vc=")</f>
        <v>#REF!</v>
      </c>
      <c r="CK4" s="25" t="e">
        <f>AND(#REF!,"AAAAAG/r3Vg=")</f>
        <v>#REF!</v>
      </c>
      <c r="CL4" s="25" t="e">
        <f>AND(#REF!,"AAAAAG/r3Vk=")</f>
        <v>#REF!</v>
      </c>
      <c r="CM4" s="25" t="e">
        <f>IF(#REF!,"AAAAAG/r3Vo=",0)</f>
        <v>#REF!</v>
      </c>
      <c r="CN4" s="25" t="e">
        <f>AND(#REF!,"AAAAAG/r3Vs=")</f>
        <v>#REF!</v>
      </c>
      <c r="CO4" s="25" t="e">
        <f>AND(#REF!,"AAAAAG/r3Vw=")</f>
        <v>#REF!</v>
      </c>
      <c r="CP4" s="25" t="e">
        <f>AND(#REF!,"AAAAAG/r3V0=")</f>
        <v>#REF!</v>
      </c>
      <c r="CQ4" s="25" t="e">
        <f>AND(#REF!,"AAAAAG/r3V4=")</f>
        <v>#REF!</v>
      </c>
      <c r="CR4" s="25" t="e">
        <f>AND(#REF!,"AAAAAG/r3V8=")</f>
        <v>#REF!</v>
      </c>
      <c r="CS4" s="25" t="e">
        <f>AND(#REF!,"AAAAAG/r3WA=")</f>
        <v>#REF!</v>
      </c>
      <c r="CT4" s="25" t="e">
        <f>AND(#REF!,"AAAAAG/r3WE=")</f>
        <v>#REF!</v>
      </c>
      <c r="CU4" s="25" t="e">
        <f>AND(#REF!,"AAAAAG/r3WI=")</f>
        <v>#REF!</v>
      </c>
      <c r="CV4" s="25" t="e">
        <f>AND(#REF!,"AAAAAG/r3WM=")</f>
        <v>#REF!</v>
      </c>
      <c r="CW4" s="25" t="e">
        <f>AND(#REF!,"AAAAAG/r3WQ=")</f>
        <v>#REF!</v>
      </c>
      <c r="CX4" s="25" t="e">
        <f>AND(#REF!,"AAAAAG/r3WU=")</f>
        <v>#REF!</v>
      </c>
      <c r="CY4" s="25" t="e">
        <f>AND(#REF!,"AAAAAG/r3WY=")</f>
        <v>#REF!</v>
      </c>
      <c r="CZ4" s="25" t="e">
        <f>AND(#REF!,"AAAAAG/r3Wc=")</f>
        <v>#REF!</v>
      </c>
      <c r="DA4" s="25" t="e">
        <f>AND(#REF!,"AAAAAG/r3Wg=")</f>
        <v>#REF!</v>
      </c>
      <c r="DB4" s="25" t="e">
        <f>AND(#REF!,"AAAAAG/r3Wk=")</f>
        <v>#REF!</v>
      </c>
      <c r="DC4" s="25" t="e">
        <f>AND(#REF!,"AAAAAG/r3Wo=")</f>
        <v>#REF!</v>
      </c>
      <c r="DD4" s="25" t="e">
        <f>AND(#REF!,"AAAAAG/r3Ws=")</f>
        <v>#REF!</v>
      </c>
      <c r="DE4" s="25" t="e">
        <f>AND(#REF!,"AAAAAG/r3Ww=")</f>
        <v>#REF!</v>
      </c>
      <c r="DF4" s="25" t="e">
        <f>AND(#REF!,"AAAAAG/r3W0=")</f>
        <v>#REF!</v>
      </c>
      <c r="DG4" s="25" t="e">
        <f>AND(#REF!,"AAAAAG/r3W4=")</f>
        <v>#REF!</v>
      </c>
      <c r="DH4" s="25" t="e">
        <f>AND(#REF!,"AAAAAG/r3W8=")</f>
        <v>#REF!</v>
      </c>
      <c r="DI4" s="25" t="e">
        <f>IF(#REF!,"AAAAAG/r3XA=",0)</f>
        <v>#REF!</v>
      </c>
      <c r="DJ4" s="25" t="e">
        <f>AND(#REF!,"AAAAAG/r3XE=")</f>
        <v>#REF!</v>
      </c>
      <c r="DK4" s="25" t="e">
        <f>AND(#REF!,"AAAAAG/r3XI=")</f>
        <v>#REF!</v>
      </c>
      <c r="DL4" s="25" t="e">
        <f>AND(#REF!,"AAAAAG/r3XM=")</f>
        <v>#REF!</v>
      </c>
      <c r="DM4" s="25" t="e">
        <f>AND(#REF!,"AAAAAG/r3XQ=")</f>
        <v>#REF!</v>
      </c>
      <c r="DN4" s="25" t="e">
        <f>AND(#REF!,"AAAAAG/r3XU=")</f>
        <v>#REF!</v>
      </c>
      <c r="DO4" s="25" t="e">
        <f>AND(#REF!,"AAAAAG/r3XY=")</f>
        <v>#REF!</v>
      </c>
      <c r="DP4" s="25" t="e">
        <f>AND(#REF!,"AAAAAG/r3Xc=")</f>
        <v>#REF!</v>
      </c>
      <c r="DQ4" s="25" t="e">
        <f>AND(#REF!,"AAAAAG/r3Xg=")</f>
        <v>#REF!</v>
      </c>
      <c r="DR4" s="25" t="e">
        <f>AND(#REF!,"AAAAAG/r3Xk=")</f>
        <v>#REF!</v>
      </c>
      <c r="DS4" s="25" t="e">
        <f>AND(#REF!,"AAAAAG/r3Xo=")</f>
        <v>#REF!</v>
      </c>
      <c r="DT4" s="25" t="e">
        <f>AND(#REF!,"AAAAAG/r3Xs=")</f>
        <v>#REF!</v>
      </c>
      <c r="DU4" s="25" t="e">
        <f>AND(#REF!,"AAAAAG/r3Xw=")</f>
        <v>#REF!</v>
      </c>
      <c r="DV4" s="25" t="e">
        <f>AND(#REF!,"AAAAAG/r3X0=")</f>
        <v>#REF!</v>
      </c>
      <c r="DW4" s="25" t="e">
        <f>AND(#REF!,"AAAAAG/r3X4=")</f>
        <v>#REF!</v>
      </c>
      <c r="DX4" s="25" t="e">
        <f>AND(#REF!,"AAAAAG/r3X8=")</f>
        <v>#REF!</v>
      </c>
      <c r="DY4" s="25" t="e">
        <f>AND(#REF!,"AAAAAG/r3YA=")</f>
        <v>#REF!</v>
      </c>
      <c r="DZ4" s="25" t="e">
        <f>AND(#REF!,"AAAAAG/r3YE=")</f>
        <v>#REF!</v>
      </c>
      <c r="EA4" s="25" t="e">
        <f>AND(#REF!,"AAAAAG/r3YI=")</f>
        <v>#REF!</v>
      </c>
      <c r="EB4" s="25" t="e">
        <f>AND(#REF!,"AAAAAG/r3YM=")</f>
        <v>#REF!</v>
      </c>
      <c r="EC4" s="25" t="e">
        <f>AND(#REF!,"AAAAAG/r3YQ=")</f>
        <v>#REF!</v>
      </c>
      <c r="ED4" s="25" t="e">
        <f>AND(#REF!,"AAAAAG/r3YU=")</f>
        <v>#REF!</v>
      </c>
      <c r="EE4" s="25" t="e">
        <f>IF(#REF!,"AAAAAG/r3YY=",0)</f>
        <v>#REF!</v>
      </c>
      <c r="EF4" s="25" t="e">
        <f>AND(#REF!,"AAAAAG/r3Yc=")</f>
        <v>#REF!</v>
      </c>
      <c r="EG4" s="25" t="e">
        <f>AND(#REF!,"AAAAAG/r3Yg=")</f>
        <v>#REF!</v>
      </c>
      <c r="EH4" s="25" t="e">
        <f>AND(#REF!,"AAAAAG/r3Yk=")</f>
        <v>#REF!</v>
      </c>
      <c r="EI4" s="25" t="e">
        <f>AND(#REF!,"AAAAAG/r3Yo=")</f>
        <v>#REF!</v>
      </c>
      <c r="EJ4" s="25" t="e">
        <f>AND(#REF!,"AAAAAG/r3Ys=")</f>
        <v>#REF!</v>
      </c>
      <c r="EK4" s="25" t="e">
        <f>AND(#REF!,"AAAAAG/r3Yw=")</f>
        <v>#REF!</v>
      </c>
      <c r="EL4" s="25" t="e">
        <f>AND(#REF!,"AAAAAG/r3Y0=")</f>
        <v>#REF!</v>
      </c>
      <c r="EM4" s="25" t="e">
        <f>AND(#REF!,"AAAAAG/r3Y4=")</f>
        <v>#REF!</v>
      </c>
      <c r="EN4" s="25" t="e">
        <f>AND(#REF!,"AAAAAG/r3Y8=")</f>
        <v>#REF!</v>
      </c>
      <c r="EO4" s="25" t="e">
        <f>AND(#REF!,"AAAAAG/r3ZA=")</f>
        <v>#REF!</v>
      </c>
      <c r="EP4" s="25" t="e">
        <f>AND(#REF!,"AAAAAG/r3ZE=")</f>
        <v>#REF!</v>
      </c>
      <c r="EQ4" s="25" t="e">
        <f>AND(#REF!,"AAAAAG/r3ZI=")</f>
        <v>#REF!</v>
      </c>
      <c r="ER4" s="25" t="e">
        <f>AND(#REF!,"AAAAAG/r3ZM=")</f>
        <v>#REF!</v>
      </c>
      <c r="ES4" s="25" t="e">
        <f>AND(#REF!,"AAAAAG/r3ZQ=")</f>
        <v>#REF!</v>
      </c>
      <c r="ET4" s="25" t="e">
        <f>AND(#REF!,"AAAAAG/r3ZU=")</f>
        <v>#REF!</v>
      </c>
      <c r="EU4" s="25" t="e">
        <f>AND(#REF!,"AAAAAG/r3ZY=")</f>
        <v>#REF!</v>
      </c>
      <c r="EV4" s="25" t="e">
        <f>AND(#REF!,"AAAAAG/r3Zc=")</f>
        <v>#REF!</v>
      </c>
      <c r="EW4" s="25" t="e">
        <f>AND(#REF!,"AAAAAG/r3Zg=")</f>
        <v>#REF!</v>
      </c>
      <c r="EX4" s="25" t="e">
        <f>AND(#REF!,"AAAAAG/r3Zk=")</f>
        <v>#REF!</v>
      </c>
      <c r="EY4" s="25" t="e">
        <f>AND(#REF!,"AAAAAG/r3Zo=")</f>
        <v>#REF!</v>
      </c>
      <c r="EZ4" s="25" t="e">
        <f>AND(#REF!,"AAAAAG/r3Zs=")</f>
        <v>#REF!</v>
      </c>
      <c r="FA4" s="25" t="e">
        <f>IF(#REF!,"AAAAAG/r3Zw=",0)</f>
        <v>#REF!</v>
      </c>
      <c r="FB4" s="25" t="e">
        <f>AND(#REF!,"AAAAAG/r3Z0=")</f>
        <v>#REF!</v>
      </c>
      <c r="FC4" s="25" t="e">
        <f>AND(#REF!,"AAAAAG/r3Z4=")</f>
        <v>#REF!</v>
      </c>
      <c r="FD4" s="25" t="e">
        <f>AND(#REF!,"AAAAAG/r3Z8=")</f>
        <v>#REF!</v>
      </c>
      <c r="FE4" s="25" t="e">
        <f>AND(#REF!,"AAAAAG/r3aA=")</f>
        <v>#REF!</v>
      </c>
      <c r="FF4" s="25" t="e">
        <f>AND(#REF!,"AAAAAG/r3aE=")</f>
        <v>#REF!</v>
      </c>
      <c r="FG4" s="25" t="e">
        <f>AND(#REF!,"AAAAAG/r3aI=")</f>
        <v>#REF!</v>
      </c>
      <c r="FH4" s="25" t="e">
        <f>AND(#REF!,"AAAAAG/r3aM=")</f>
        <v>#REF!</v>
      </c>
      <c r="FI4" s="25" t="e">
        <f>AND(#REF!,"AAAAAG/r3aQ=")</f>
        <v>#REF!</v>
      </c>
      <c r="FJ4" s="25" t="e">
        <f>AND(#REF!,"AAAAAG/r3aU=")</f>
        <v>#REF!</v>
      </c>
      <c r="FK4" s="25" t="e">
        <f>AND(#REF!,"AAAAAG/r3aY=")</f>
        <v>#REF!</v>
      </c>
      <c r="FL4" s="25" t="e">
        <f>AND(#REF!,"AAAAAG/r3ac=")</f>
        <v>#REF!</v>
      </c>
      <c r="FM4" s="25" t="e">
        <f>AND(#REF!,"AAAAAG/r3ag=")</f>
        <v>#REF!</v>
      </c>
      <c r="FN4" s="25" t="e">
        <f>AND(#REF!,"AAAAAG/r3ak=")</f>
        <v>#REF!</v>
      </c>
      <c r="FO4" s="25" t="e">
        <f>AND(#REF!,"AAAAAG/r3ao=")</f>
        <v>#REF!</v>
      </c>
      <c r="FP4" s="25" t="e">
        <f>AND(#REF!,"AAAAAG/r3as=")</f>
        <v>#REF!</v>
      </c>
      <c r="FQ4" s="25" t="e">
        <f>AND(#REF!,"AAAAAG/r3aw=")</f>
        <v>#REF!</v>
      </c>
      <c r="FR4" s="25" t="e">
        <f>AND(#REF!,"AAAAAG/r3a0=")</f>
        <v>#REF!</v>
      </c>
      <c r="FS4" s="25" t="e">
        <f>AND(#REF!,"AAAAAG/r3a4=")</f>
        <v>#REF!</v>
      </c>
      <c r="FT4" s="25" t="e">
        <f>AND(#REF!,"AAAAAG/r3a8=")</f>
        <v>#REF!</v>
      </c>
      <c r="FU4" s="25" t="e">
        <f>AND(#REF!,"AAAAAG/r3bA=")</f>
        <v>#REF!</v>
      </c>
      <c r="FV4" s="25" t="e">
        <f>AND(#REF!,"AAAAAG/r3bE=")</f>
        <v>#REF!</v>
      </c>
      <c r="FW4" s="25" t="e">
        <f>IF(#REF!,"AAAAAG/r3bI=",0)</f>
        <v>#REF!</v>
      </c>
      <c r="FX4" s="25" t="e">
        <f>AND(#REF!,"AAAAAG/r3bM=")</f>
        <v>#REF!</v>
      </c>
      <c r="FY4" s="25" t="e">
        <f>AND(#REF!,"AAAAAG/r3bQ=")</f>
        <v>#REF!</v>
      </c>
      <c r="FZ4" s="25" t="e">
        <f>AND(#REF!,"AAAAAG/r3bU=")</f>
        <v>#REF!</v>
      </c>
      <c r="GA4" s="25" t="e">
        <f>AND(#REF!,"AAAAAG/r3bY=")</f>
        <v>#REF!</v>
      </c>
      <c r="GB4" s="25" t="e">
        <f>AND(#REF!,"AAAAAG/r3bc=")</f>
        <v>#REF!</v>
      </c>
      <c r="GC4" s="25" t="e">
        <f>AND(#REF!,"AAAAAG/r3bg=")</f>
        <v>#REF!</v>
      </c>
      <c r="GD4" s="25" t="e">
        <f>AND(#REF!,"AAAAAG/r3bk=")</f>
        <v>#REF!</v>
      </c>
      <c r="GE4" s="25" t="e">
        <f>AND(#REF!,"AAAAAG/r3bo=")</f>
        <v>#REF!</v>
      </c>
      <c r="GF4" s="25" t="e">
        <f>AND(#REF!,"AAAAAG/r3bs=")</f>
        <v>#REF!</v>
      </c>
      <c r="GG4" s="25" t="e">
        <f>AND(#REF!,"AAAAAG/r3bw=")</f>
        <v>#REF!</v>
      </c>
      <c r="GH4" s="25" t="e">
        <f>AND(#REF!,"AAAAAG/r3b0=")</f>
        <v>#REF!</v>
      </c>
      <c r="GI4" s="25" t="e">
        <f>AND(#REF!,"AAAAAG/r3b4=")</f>
        <v>#REF!</v>
      </c>
      <c r="GJ4" s="25" t="e">
        <f>AND(#REF!,"AAAAAG/r3b8=")</f>
        <v>#REF!</v>
      </c>
      <c r="GK4" s="25" t="e">
        <f>AND(#REF!,"AAAAAG/r3cA=")</f>
        <v>#REF!</v>
      </c>
      <c r="GL4" s="25" t="e">
        <f>AND(#REF!,"AAAAAG/r3cE=")</f>
        <v>#REF!</v>
      </c>
      <c r="GM4" s="25" t="e">
        <f>AND(#REF!,"AAAAAG/r3cI=")</f>
        <v>#REF!</v>
      </c>
      <c r="GN4" s="25" t="e">
        <f>AND(#REF!,"AAAAAG/r3cM=")</f>
        <v>#REF!</v>
      </c>
      <c r="GO4" s="25" t="e">
        <f>AND(#REF!,"AAAAAG/r3cQ=")</f>
        <v>#REF!</v>
      </c>
      <c r="GP4" s="25" t="e">
        <f>AND(#REF!,"AAAAAG/r3cU=")</f>
        <v>#REF!</v>
      </c>
      <c r="GQ4" s="25" t="e">
        <f>AND(#REF!,"AAAAAG/r3cY=")</f>
        <v>#REF!</v>
      </c>
      <c r="GR4" s="25" t="e">
        <f>AND(#REF!,"AAAAAG/r3cc=")</f>
        <v>#REF!</v>
      </c>
      <c r="GS4" s="25" t="e">
        <f>IF(#REF!,"AAAAAG/r3cg=",0)</f>
        <v>#REF!</v>
      </c>
      <c r="GT4" s="25" t="e">
        <f>AND(#REF!,"AAAAAG/r3ck=")</f>
        <v>#REF!</v>
      </c>
      <c r="GU4" s="25" t="e">
        <f>AND(#REF!,"AAAAAG/r3co=")</f>
        <v>#REF!</v>
      </c>
      <c r="GV4" s="25" t="e">
        <f>AND(#REF!,"AAAAAG/r3cs=")</f>
        <v>#REF!</v>
      </c>
      <c r="GW4" s="25" t="e">
        <f>AND(#REF!,"AAAAAG/r3cw=")</f>
        <v>#REF!</v>
      </c>
      <c r="GX4" s="25" t="e">
        <f>AND(#REF!,"AAAAAG/r3c0=")</f>
        <v>#REF!</v>
      </c>
      <c r="GY4" s="25" t="e">
        <f>AND(#REF!,"AAAAAG/r3c4=")</f>
        <v>#REF!</v>
      </c>
      <c r="GZ4" s="25" t="e">
        <f>AND(#REF!,"AAAAAG/r3c8=")</f>
        <v>#REF!</v>
      </c>
      <c r="HA4" s="25" t="e">
        <f>AND(#REF!,"AAAAAG/r3dA=")</f>
        <v>#REF!</v>
      </c>
      <c r="HB4" s="25" t="e">
        <f>AND(#REF!,"AAAAAG/r3dE=")</f>
        <v>#REF!</v>
      </c>
      <c r="HC4" s="25" t="e">
        <f>AND(#REF!,"AAAAAG/r3dI=")</f>
        <v>#REF!</v>
      </c>
      <c r="HD4" s="25" t="e">
        <f>AND(#REF!,"AAAAAG/r3dM=")</f>
        <v>#REF!</v>
      </c>
      <c r="HE4" s="25" t="e">
        <f>AND(#REF!,"AAAAAG/r3dQ=")</f>
        <v>#REF!</v>
      </c>
      <c r="HF4" s="25" t="e">
        <f>AND(#REF!,"AAAAAG/r3dU=")</f>
        <v>#REF!</v>
      </c>
      <c r="HG4" s="25" t="e">
        <f>AND(#REF!,"AAAAAG/r3dY=")</f>
        <v>#REF!</v>
      </c>
      <c r="HH4" s="25" t="e">
        <f>AND(#REF!,"AAAAAG/r3dc=")</f>
        <v>#REF!</v>
      </c>
      <c r="HI4" s="25" t="e">
        <f>AND(#REF!,"AAAAAG/r3dg=")</f>
        <v>#REF!</v>
      </c>
      <c r="HJ4" s="25" t="e">
        <f>AND(#REF!,"AAAAAG/r3dk=")</f>
        <v>#REF!</v>
      </c>
      <c r="HK4" s="25" t="e">
        <f>AND(#REF!,"AAAAAG/r3do=")</f>
        <v>#REF!</v>
      </c>
      <c r="HL4" s="25" t="e">
        <f>AND(#REF!,"AAAAAG/r3ds=")</f>
        <v>#REF!</v>
      </c>
      <c r="HM4" s="25" t="e">
        <f>AND(#REF!,"AAAAAG/r3dw=")</f>
        <v>#REF!</v>
      </c>
      <c r="HN4" s="25" t="e">
        <f>AND(#REF!,"AAAAAG/r3d0=")</f>
        <v>#REF!</v>
      </c>
      <c r="HO4" s="25" t="e">
        <f>IF(#REF!,"AAAAAG/r3d4=",0)</f>
        <v>#REF!</v>
      </c>
      <c r="HP4" s="25" t="e">
        <f>AND(#REF!,"AAAAAG/r3d8=")</f>
        <v>#REF!</v>
      </c>
      <c r="HQ4" s="25" t="e">
        <f>AND(#REF!,"AAAAAG/r3eA=")</f>
        <v>#REF!</v>
      </c>
      <c r="HR4" s="25" t="e">
        <f>AND(#REF!,"AAAAAG/r3eE=")</f>
        <v>#REF!</v>
      </c>
      <c r="HS4" s="25" t="e">
        <f>AND(#REF!,"AAAAAG/r3eI=")</f>
        <v>#REF!</v>
      </c>
      <c r="HT4" s="25" t="e">
        <f>AND(#REF!,"AAAAAG/r3eM=")</f>
        <v>#REF!</v>
      </c>
      <c r="HU4" s="25" t="e">
        <f>AND(#REF!,"AAAAAG/r3eQ=")</f>
        <v>#REF!</v>
      </c>
      <c r="HV4" s="25" t="e">
        <f>AND(#REF!,"AAAAAG/r3eU=")</f>
        <v>#REF!</v>
      </c>
      <c r="HW4" s="25" t="e">
        <f>AND(#REF!,"AAAAAG/r3eY=")</f>
        <v>#REF!</v>
      </c>
      <c r="HX4" s="25" t="e">
        <f>AND(#REF!,"AAAAAG/r3ec=")</f>
        <v>#REF!</v>
      </c>
      <c r="HY4" s="25" t="e">
        <f>AND(#REF!,"AAAAAG/r3eg=")</f>
        <v>#REF!</v>
      </c>
      <c r="HZ4" s="25" t="e">
        <f>AND(#REF!,"AAAAAG/r3ek=")</f>
        <v>#REF!</v>
      </c>
      <c r="IA4" s="25" t="e">
        <f>AND(#REF!,"AAAAAG/r3eo=")</f>
        <v>#REF!</v>
      </c>
      <c r="IB4" s="25" t="e">
        <f>AND(#REF!,"AAAAAG/r3es=")</f>
        <v>#REF!</v>
      </c>
      <c r="IC4" s="25" t="e">
        <f>AND(#REF!,"AAAAAG/r3ew=")</f>
        <v>#REF!</v>
      </c>
      <c r="ID4" s="25" t="e">
        <f>AND(#REF!,"AAAAAG/r3e0=")</f>
        <v>#REF!</v>
      </c>
      <c r="IE4" s="25" t="e">
        <f>AND(#REF!,"AAAAAG/r3e4=")</f>
        <v>#REF!</v>
      </c>
      <c r="IF4" s="25" t="e">
        <f>AND(#REF!,"AAAAAG/r3e8=")</f>
        <v>#REF!</v>
      </c>
      <c r="IG4" s="25" t="e">
        <f>AND(#REF!,"AAAAAG/r3fA=")</f>
        <v>#REF!</v>
      </c>
      <c r="IH4" s="25" t="e">
        <f>AND(#REF!,"AAAAAG/r3fE=")</f>
        <v>#REF!</v>
      </c>
      <c r="II4" s="25" t="e">
        <f>AND(#REF!,"AAAAAG/r3fI=")</f>
        <v>#REF!</v>
      </c>
      <c r="IJ4" s="25" t="e">
        <f>AND(#REF!,"AAAAAG/r3fM=")</f>
        <v>#REF!</v>
      </c>
      <c r="IK4" s="25" t="e">
        <f>IF(#REF!,"AAAAAG/r3fQ=",0)</f>
        <v>#REF!</v>
      </c>
      <c r="IL4" s="25" t="e">
        <f>AND(#REF!,"AAAAAG/r3fU=")</f>
        <v>#REF!</v>
      </c>
      <c r="IM4" s="25" t="e">
        <f>AND(#REF!,"AAAAAG/r3fY=")</f>
        <v>#REF!</v>
      </c>
      <c r="IN4" s="25" t="e">
        <f>AND(#REF!,"AAAAAG/r3fc=")</f>
        <v>#REF!</v>
      </c>
      <c r="IO4" s="25" t="e">
        <f>AND(#REF!,"AAAAAG/r3fg=")</f>
        <v>#REF!</v>
      </c>
      <c r="IP4" s="25" t="e">
        <f>AND(#REF!,"AAAAAG/r3fk=")</f>
        <v>#REF!</v>
      </c>
      <c r="IQ4" s="25" t="e">
        <f>AND(#REF!,"AAAAAG/r3fo=")</f>
        <v>#REF!</v>
      </c>
      <c r="IR4" s="25" t="e">
        <f>AND(#REF!,"AAAAAG/r3fs=")</f>
        <v>#REF!</v>
      </c>
      <c r="IS4" s="25" t="e">
        <f>AND(#REF!,"AAAAAG/r3fw=")</f>
        <v>#REF!</v>
      </c>
      <c r="IT4" s="25" t="e">
        <f>AND(#REF!,"AAAAAG/r3f0=")</f>
        <v>#REF!</v>
      </c>
      <c r="IU4" s="25" t="e">
        <f>AND(#REF!,"AAAAAG/r3f4=")</f>
        <v>#REF!</v>
      </c>
      <c r="IV4" s="25" t="e">
        <f>AND(#REF!,"AAAAAG/r3f8=")</f>
        <v>#REF!</v>
      </c>
    </row>
    <row r="5" spans="1:256" ht="12.75" customHeight="1" x14ac:dyDescent="0.2">
      <c r="A5" s="25" t="e">
        <f>AND(#REF!,"AAAAAH8rGgA=")</f>
        <v>#REF!</v>
      </c>
      <c r="B5" s="25" t="e">
        <f>AND(#REF!,"AAAAAH8rGgE=")</f>
        <v>#REF!</v>
      </c>
      <c r="C5" s="25" t="e">
        <f>AND(#REF!,"AAAAAH8rGgI=")</f>
        <v>#REF!</v>
      </c>
      <c r="D5" s="25" t="e">
        <f>AND(#REF!,"AAAAAH8rGgM=")</f>
        <v>#REF!</v>
      </c>
      <c r="E5" s="25" t="e">
        <f>AND(#REF!,"AAAAAH8rGgQ=")</f>
        <v>#REF!</v>
      </c>
      <c r="F5" s="25" t="e">
        <f>AND(#REF!,"AAAAAH8rGgU=")</f>
        <v>#REF!</v>
      </c>
      <c r="G5" s="25" t="e">
        <f>AND(#REF!,"AAAAAH8rGgY=")</f>
        <v>#REF!</v>
      </c>
      <c r="H5" s="25" t="e">
        <f>AND(#REF!,"AAAAAH8rGgc=")</f>
        <v>#REF!</v>
      </c>
      <c r="I5" s="25" t="e">
        <f>AND(#REF!,"AAAAAH8rGgg=")</f>
        <v>#REF!</v>
      </c>
      <c r="J5" s="25" t="e">
        <f>AND(#REF!,"AAAAAH8rGgk=")</f>
        <v>#REF!</v>
      </c>
      <c r="K5" s="25" t="e">
        <f>IF(#REF!,"AAAAAH8rGgo=",0)</f>
        <v>#REF!</v>
      </c>
      <c r="L5" s="25" t="e">
        <f>AND(#REF!,"AAAAAH8rGgs=")</f>
        <v>#REF!</v>
      </c>
      <c r="M5" s="25" t="e">
        <f>AND(#REF!,"AAAAAH8rGgw=")</f>
        <v>#REF!</v>
      </c>
      <c r="N5" s="25" t="e">
        <f>AND(#REF!,"AAAAAH8rGg0=")</f>
        <v>#REF!</v>
      </c>
      <c r="O5" s="25" t="e">
        <f>AND(#REF!,"AAAAAH8rGg4=")</f>
        <v>#REF!</v>
      </c>
      <c r="P5" s="25" t="e">
        <f>AND(#REF!,"AAAAAH8rGg8=")</f>
        <v>#REF!</v>
      </c>
      <c r="Q5" s="25" t="e">
        <f>AND(#REF!,"AAAAAH8rGhA=")</f>
        <v>#REF!</v>
      </c>
      <c r="R5" s="25" t="e">
        <f>AND(#REF!,"AAAAAH8rGhE=")</f>
        <v>#REF!</v>
      </c>
      <c r="S5" s="25" t="e">
        <f>AND(#REF!,"AAAAAH8rGhI=")</f>
        <v>#REF!</v>
      </c>
      <c r="T5" s="25" t="e">
        <f>AND(#REF!,"AAAAAH8rGhM=")</f>
        <v>#REF!</v>
      </c>
      <c r="U5" s="25" t="e">
        <f>AND(#REF!,"AAAAAH8rGhQ=")</f>
        <v>#REF!</v>
      </c>
      <c r="V5" s="25" t="e">
        <f>AND(#REF!,"AAAAAH8rGhU=")</f>
        <v>#REF!</v>
      </c>
      <c r="W5" s="25" t="e">
        <f>AND(#REF!,"AAAAAH8rGhY=")</f>
        <v>#REF!</v>
      </c>
      <c r="X5" s="25" t="e">
        <f>AND(#REF!,"AAAAAH8rGhc=")</f>
        <v>#REF!</v>
      </c>
      <c r="Y5" s="25" t="e">
        <f>AND(#REF!,"AAAAAH8rGhg=")</f>
        <v>#REF!</v>
      </c>
      <c r="Z5" s="25" t="e">
        <f>AND(#REF!,"AAAAAH8rGhk=")</f>
        <v>#REF!</v>
      </c>
      <c r="AA5" s="25" t="e">
        <f>AND(#REF!,"AAAAAH8rGho=")</f>
        <v>#REF!</v>
      </c>
      <c r="AB5" s="25" t="e">
        <f>AND(#REF!,"AAAAAH8rGhs=")</f>
        <v>#REF!</v>
      </c>
      <c r="AC5" s="25" t="e">
        <f>AND(#REF!,"AAAAAH8rGhw=")</f>
        <v>#REF!</v>
      </c>
      <c r="AD5" s="25" t="e">
        <f>AND(#REF!,"AAAAAH8rGh0=")</f>
        <v>#REF!</v>
      </c>
      <c r="AE5" s="25" t="e">
        <f>AND(#REF!,"AAAAAH8rGh4=")</f>
        <v>#REF!</v>
      </c>
      <c r="AF5" s="25" t="e">
        <f>AND(#REF!,"AAAAAH8rGh8=")</f>
        <v>#REF!</v>
      </c>
      <c r="AG5" s="25" t="e">
        <f>IF(#REF!,"AAAAAH8rGiA=",0)</f>
        <v>#REF!</v>
      </c>
      <c r="AH5" s="25" t="e">
        <f>AND(#REF!,"AAAAAH8rGiE=")</f>
        <v>#REF!</v>
      </c>
      <c r="AI5" s="25" t="e">
        <f>AND(#REF!,"AAAAAH8rGiI=")</f>
        <v>#REF!</v>
      </c>
      <c r="AJ5" s="25" t="e">
        <f>AND(#REF!,"AAAAAH8rGiM=")</f>
        <v>#REF!</v>
      </c>
      <c r="AK5" s="25" t="e">
        <f>AND(#REF!,"AAAAAH8rGiQ=")</f>
        <v>#REF!</v>
      </c>
      <c r="AL5" s="25" t="e">
        <f>AND(#REF!,"AAAAAH8rGiU=")</f>
        <v>#REF!</v>
      </c>
      <c r="AM5" s="25" t="e">
        <f>AND(#REF!,"AAAAAH8rGiY=")</f>
        <v>#REF!</v>
      </c>
      <c r="AN5" s="25" t="e">
        <f>AND(#REF!,"AAAAAH8rGic=")</f>
        <v>#REF!</v>
      </c>
      <c r="AO5" s="25" t="e">
        <f>AND(#REF!,"AAAAAH8rGig=")</f>
        <v>#REF!</v>
      </c>
      <c r="AP5" s="25" t="e">
        <f>AND(#REF!,"AAAAAH8rGik=")</f>
        <v>#REF!</v>
      </c>
      <c r="AQ5" s="25" t="e">
        <f>AND(#REF!,"AAAAAH8rGio=")</f>
        <v>#REF!</v>
      </c>
      <c r="AR5" s="25" t="e">
        <f>AND(#REF!,"AAAAAH8rGis=")</f>
        <v>#REF!</v>
      </c>
      <c r="AS5" s="25" t="e">
        <f>AND(#REF!,"AAAAAH8rGiw=")</f>
        <v>#REF!</v>
      </c>
      <c r="AT5" s="25" t="e">
        <f>AND(#REF!,"AAAAAH8rGi0=")</f>
        <v>#REF!</v>
      </c>
      <c r="AU5" s="25" t="e">
        <f>AND(#REF!,"AAAAAH8rGi4=")</f>
        <v>#REF!</v>
      </c>
      <c r="AV5" s="25" t="e">
        <f>AND(#REF!,"AAAAAH8rGi8=")</f>
        <v>#REF!</v>
      </c>
      <c r="AW5" s="25" t="e">
        <f>AND(#REF!,"AAAAAH8rGjA=")</f>
        <v>#REF!</v>
      </c>
      <c r="AX5" s="25" t="e">
        <f>AND(#REF!,"AAAAAH8rGjE=")</f>
        <v>#REF!</v>
      </c>
      <c r="AY5" s="25" t="e">
        <f>AND(#REF!,"AAAAAH8rGjI=")</f>
        <v>#REF!</v>
      </c>
      <c r="AZ5" s="25" t="e">
        <f>AND(#REF!,"AAAAAH8rGjM=")</f>
        <v>#REF!</v>
      </c>
      <c r="BA5" s="25" t="e">
        <f>AND(#REF!,"AAAAAH8rGjQ=")</f>
        <v>#REF!</v>
      </c>
      <c r="BB5" s="25" t="e">
        <f>AND(#REF!,"AAAAAH8rGjU=")</f>
        <v>#REF!</v>
      </c>
      <c r="BC5" s="25" t="e">
        <f>IF(#REF!,"AAAAAH8rGjY=",0)</f>
        <v>#REF!</v>
      </c>
      <c r="BD5" s="25" t="e">
        <f>AND(#REF!,"AAAAAH8rGjc=")</f>
        <v>#REF!</v>
      </c>
      <c r="BE5" s="25" t="e">
        <f>AND(#REF!,"AAAAAH8rGjg=")</f>
        <v>#REF!</v>
      </c>
      <c r="BF5" s="25" t="e">
        <f>AND(#REF!,"AAAAAH8rGjk=")</f>
        <v>#REF!</v>
      </c>
      <c r="BG5" s="25" t="e">
        <f>AND(#REF!,"AAAAAH8rGjo=")</f>
        <v>#REF!</v>
      </c>
      <c r="BH5" s="25" t="e">
        <f>AND(#REF!,"AAAAAH8rGjs=")</f>
        <v>#REF!</v>
      </c>
      <c r="BI5" s="25" t="e">
        <f>AND(#REF!,"AAAAAH8rGjw=")</f>
        <v>#REF!</v>
      </c>
      <c r="BJ5" s="25" t="e">
        <f>AND(#REF!,"AAAAAH8rGj0=")</f>
        <v>#REF!</v>
      </c>
      <c r="BK5" s="25" t="e">
        <f>AND(#REF!,"AAAAAH8rGj4=")</f>
        <v>#REF!</v>
      </c>
      <c r="BL5" s="25" t="e">
        <f>AND(#REF!,"AAAAAH8rGj8=")</f>
        <v>#REF!</v>
      </c>
      <c r="BM5" s="25" t="e">
        <f>AND(#REF!,"AAAAAH8rGkA=")</f>
        <v>#REF!</v>
      </c>
      <c r="BN5" s="25" t="e">
        <f>AND(#REF!,"AAAAAH8rGkE=")</f>
        <v>#REF!</v>
      </c>
      <c r="BO5" s="25" t="e">
        <f>AND(#REF!,"AAAAAH8rGkI=")</f>
        <v>#REF!</v>
      </c>
      <c r="BP5" s="25" t="e">
        <f>AND(#REF!,"AAAAAH8rGkM=")</f>
        <v>#REF!</v>
      </c>
      <c r="BQ5" s="25" t="e">
        <f>AND(#REF!,"AAAAAH8rGkQ=")</f>
        <v>#REF!</v>
      </c>
      <c r="BR5" s="25" t="e">
        <f>AND(#REF!,"AAAAAH8rGkU=")</f>
        <v>#REF!</v>
      </c>
      <c r="BS5" s="25" t="e">
        <f>AND(#REF!,"AAAAAH8rGkY=")</f>
        <v>#REF!</v>
      </c>
      <c r="BT5" s="25" t="e">
        <f>AND(#REF!,"AAAAAH8rGkc=")</f>
        <v>#REF!</v>
      </c>
      <c r="BU5" s="25" t="e">
        <f>AND(#REF!,"AAAAAH8rGkg=")</f>
        <v>#REF!</v>
      </c>
      <c r="BV5" s="25" t="e">
        <f>AND(#REF!,"AAAAAH8rGkk=")</f>
        <v>#REF!</v>
      </c>
      <c r="BW5" s="25" t="e">
        <f>AND(#REF!,"AAAAAH8rGko=")</f>
        <v>#REF!</v>
      </c>
      <c r="BX5" s="25" t="e">
        <f>AND(#REF!,"AAAAAH8rGks=")</f>
        <v>#REF!</v>
      </c>
      <c r="BY5" s="25" t="e">
        <f>IF(#REF!,"AAAAAH8rGkw=",0)</f>
        <v>#REF!</v>
      </c>
      <c r="BZ5" s="25" t="e">
        <f>AND(#REF!,"AAAAAH8rGk0=")</f>
        <v>#REF!</v>
      </c>
      <c r="CA5" s="25" t="e">
        <f>AND(#REF!,"AAAAAH8rGk4=")</f>
        <v>#REF!</v>
      </c>
      <c r="CB5" s="25" t="e">
        <f>AND(#REF!,"AAAAAH8rGk8=")</f>
        <v>#REF!</v>
      </c>
      <c r="CC5" s="25" t="e">
        <f>AND(#REF!,"AAAAAH8rGlA=")</f>
        <v>#REF!</v>
      </c>
      <c r="CD5" s="25" t="e">
        <f>AND(#REF!,"AAAAAH8rGlE=")</f>
        <v>#REF!</v>
      </c>
      <c r="CE5" s="25" t="e">
        <f>AND(#REF!,"AAAAAH8rGlI=")</f>
        <v>#REF!</v>
      </c>
      <c r="CF5" s="25" t="e">
        <f>AND(#REF!,"AAAAAH8rGlM=")</f>
        <v>#REF!</v>
      </c>
      <c r="CG5" s="25" t="e">
        <f>AND(#REF!,"AAAAAH8rGlQ=")</f>
        <v>#REF!</v>
      </c>
      <c r="CH5" s="25" t="e">
        <f>AND(#REF!,"AAAAAH8rGlU=")</f>
        <v>#REF!</v>
      </c>
      <c r="CI5" s="25" t="e">
        <f>AND(#REF!,"AAAAAH8rGlY=")</f>
        <v>#REF!</v>
      </c>
      <c r="CJ5" s="25" t="e">
        <f>AND(#REF!,"AAAAAH8rGlc=")</f>
        <v>#REF!</v>
      </c>
      <c r="CK5" s="25" t="e">
        <f>AND(#REF!,"AAAAAH8rGlg=")</f>
        <v>#REF!</v>
      </c>
      <c r="CL5" s="25" t="e">
        <f>AND(#REF!,"AAAAAH8rGlk=")</f>
        <v>#REF!</v>
      </c>
      <c r="CM5" s="25" t="e">
        <f>AND(#REF!,"AAAAAH8rGlo=")</f>
        <v>#REF!</v>
      </c>
      <c r="CN5" s="25" t="e">
        <f>AND(#REF!,"AAAAAH8rGls=")</f>
        <v>#REF!</v>
      </c>
      <c r="CO5" s="25" t="e">
        <f>AND(#REF!,"AAAAAH8rGlw=")</f>
        <v>#REF!</v>
      </c>
      <c r="CP5" s="25" t="e">
        <f>AND(#REF!,"AAAAAH8rGl0=")</f>
        <v>#REF!</v>
      </c>
      <c r="CQ5" s="25" t="e">
        <f>AND(#REF!,"AAAAAH8rGl4=")</f>
        <v>#REF!</v>
      </c>
      <c r="CR5" s="25" t="e">
        <f>AND(#REF!,"AAAAAH8rGl8=")</f>
        <v>#REF!</v>
      </c>
      <c r="CS5" s="25" t="e">
        <f>AND(#REF!,"AAAAAH8rGmA=")</f>
        <v>#REF!</v>
      </c>
      <c r="CT5" s="25" t="e">
        <f>AND(#REF!,"AAAAAH8rGmE=")</f>
        <v>#REF!</v>
      </c>
      <c r="CU5" s="25" t="e">
        <f>IF(#REF!,"AAAAAH8rGmI=",0)</f>
        <v>#REF!</v>
      </c>
      <c r="CV5" s="25" t="e">
        <f>AND(#REF!,"AAAAAH8rGmM=")</f>
        <v>#REF!</v>
      </c>
      <c r="CW5" s="25" t="e">
        <f>AND(#REF!,"AAAAAH8rGmQ=")</f>
        <v>#REF!</v>
      </c>
      <c r="CX5" s="25" t="e">
        <f>AND(#REF!,"AAAAAH8rGmU=")</f>
        <v>#REF!</v>
      </c>
      <c r="CY5" s="25" t="e">
        <f>AND(#REF!,"AAAAAH8rGmY=")</f>
        <v>#REF!</v>
      </c>
      <c r="CZ5" s="25" t="e">
        <f>AND(#REF!,"AAAAAH8rGmc=")</f>
        <v>#REF!</v>
      </c>
      <c r="DA5" s="25" t="e">
        <f>AND(#REF!,"AAAAAH8rGmg=")</f>
        <v>#REF!</v>
      </c>
      <c r="DB5" s="25" t="e">
        <f>AND(#REF!,"AAAAAH8rGmk=")</f>
        <v>#REF!</v>
      </c>
      <c r="DC5" s="25" t="e">
        <f>AND(#REF!,"AAAAAH8rGmo=")</f>
        <v>#REF!</v>
      </c>
      <c r="DD5" s="25" t="e">
        <f>AND(#REF!,"AAAAAH8rGms=")</f>
        <v>#REF!</v>
      </c>
      <c r="DE5" s="25" t="e">
        <f>AND(#REF!,"AAAAAH8rGmw=")</f>
        <v>#REF!</v>
      </c>
      <c r="DF5" s="25" t="e">
        <f>AND(#REF!,"AAAAAH8rGm0=")</f>
        <v>#REF!</v>
      </c>
      <c r="DG5" s="25" t="e">
        <f>AND(#REF!,"AAAAAH8rGm4=")</f>
        <v>#REF!</v>
      </c>
      <c r="DH5" s="25" t="e">
        <f>AND(#REF!,"AAAAAH8rGm8=")</f>
        <v>#REF!</v>
      </c>
      <c r="DI5" s="25" t="e">
        <f>AND(#REF!,"AAAAAH8rGnA=")</f>
        <v>#REF!</v>
      </c>
      <c r="DJ5" s="25" t="e">
        <f>AND(#REF!,"AAAAAH8rGnE=")</f>
        <v>#REF!</v>
      </c>
      <c r="DK5" s="25" t="e">
        <f>AND(#REF!,"AAAAAH8rGnI=")</f>
        <v>#REF!</v>
      </c>
      <c r="DL5" s="25" t="e">
        <f>AND(#REF!,"AAAAAH8rGnM=")</f>
        <v>#REF!</v>
      </c>
      <c r="DM5" s="25" t="e">
        <f>AND(#REF!,"AAAAAH8rGnQ=")</f>
        <v>#REF!</v>
      </c>
      <c r="DN5" s="25" t="e">
        <f>AND(#REF!,"AAAAAH8rGnU=")</f>
        <v>#REF!</v>
      </c>
      <c r="DO5" s="25" t="e">
        <f>AND(#REF!,"AAAAAH8rGnY=")</f>
        <v>#REF!</v>
      </c>
      <c r="DP5" s="25" t="e">
        <f>AND(#REF!,"AAAAAH8rGnc=")</f>
        <v>#REF!</v>
      </c>
      <c r="DQ5" s="25" t="e">
        <f>IF(#REF!,"AAAAAH8rGng=",0)</f>
        <v>#REF!</v>
      </c>
      <c r="DR5" s="25" t="e">
        <f>AND(#REF!,"AAAAAH8rGnk=")</f>
        <v>#REF!</v>
      </c>
      <c r="DS5" s="25" t="e">
        <f>AND(#REF!,"AAAAAH8rGno=")</f>
        <v>#REF!</v>
      </c>
      <c r="DT5" s="25" t="e">
        <f>AND(#REF!,"AAAAAH8rGns=")</f>
        <v>#REF!</v>
      </c>
      <c r="DU5" s="25" t="e">
        <f>AND(#REF!,"AAAAAH8rGnw=")</f>
        <v>#REF!</v>
      </c>
      <c r="DV5" s="25" t="e">
        <f>AND(#REF!,"AAAAAH8rGn0=")</f>
        <v>#REF!</v>
      </c>
      <c r="DW5" s="25" t="e">
        <f>AND(#REF!,"AAAAAH8rGn4=")</f>
        <v>#REF!</v>
      </c>
      <c r="DX5" s="25" t="e">
        <f>AND(#REF!,"AAAAAH8rGn8=")</f>
        <v>#REF!</v>
      </c>
      <c r="DY5" s="25" t="e">
        <f>AND(#REF!,"AAAAAH8rGoA=")</f>
        <v>#REF!</v>
      </c>
      <c r="DZ5" s="25" t="e">
        <f>AND(#REF!,"AAAAAH8rGoE=")</f>
        <v>#REF!</v>
      </c>
      <c r="EA5" s="25" t="e">
        <f>AND(#REF!,"AAAAAH8rGoI=")</f>
        <v>#REF!</v>
      </c>
      <c r="EB5" s="25" t="e">
        <f>AND(#REF!,"AAAAAH8rGoM=")</f>
        <v>#REF!</v>
      </c>
      <c r="EC5" s="25" t="e">
        <f>AND(#REF!,"AAAAAH8rGoQ=")</f>
        <v>#REF!</v>
      </c>
      <c r="ED5" s="25" t="e">
        <f>AND(#REF!,"AAAAAH8rGoU=")</f>
        <v>#REF!</v>
      </c>
      <c r="EE5" s="25" t="e">
        <f>AND(#REF!,"AAAAAH8rGoY=")</f>
        <v>#REF!</v>
      </c>
      <c r="EF5" s="25" t="e">
        <f>AND(#REF!,"AAAAAH8rGoc=")</f>
        <v>#REF!</v>
      </c>
      <c r="EG5" s="25" t="e">
        <f>AND(#REF!,"AAAAAH8rGog=")</f>
        <v>#REF!</v>
      </c>
      <c r="EH5" s="25" t="e">
        <f>AND(#REF!,"AAAAAH8rGok=")</f>
        <v>#REF!</v>
      </c>
      <c r="EI5" s="25" t="e">
        <f>AND(#REF!,"AAAAAH8rGoo=")</f>
        <v>#REF!</v>
      </c>
      <c r="EJ5" s="25" t="e">
        <f>AND(#REF!,"AAAAAH8rGos=")</f>
        <v>#REF!</v>
      </c>
      <c r="EK5" s="25" t="e">
        <f>AND(#REF!,"AAAAAH8rGow=")</f>
        <v>#REF!</v>
      </c>
      <c r="EL5" s="25" t="e">
        <f>AND(#REF!,"AAAAAH8rGo0=")</f>
        <v>#REF!</v>
      </c>
      <c r="EM5" s="25" t="e">
        <f>IF(#REF!,"AAAAAH8rGo4=",0)</f>
        <v>#REF!</v>
      </c>
      <c r="EN5" s="25" t="e">
        <f>AND(#REF!,"AAAAAH8rGo8=")</f>
        <v>#REF!</v>
      </c>
      <c r="EO5" s="25" t="e">
        <f>AND(#REF!,"AAAAAH8rGpA=")</f>
        <v>#REF!</v>
      </c>
      <c r="EP5" s="25" t="e">
        <f>AND(#REF!,"AAAAAH8rGpE=")</f>
        <v>#REF!</v>
      </c>
      <c r="EQ5" s="25" t="e">
        <f>AND(#REF!,"AAAAAH8rGpI=")</f>
        <v>#REF!</v>
      </c>
      <c r="ER5" s="25" t="e">
        <f>AND(#REF!,"AAAAAH8rGpM=")</f>
        <v>#REF!</v>
      </c>
      <c r="ES5" s="25" t="e">
        <f>AND(#REF!,"AAAAAH8rGpQ=")</f>
        <v>#REF!</v>
      </c>
      <c r="ET5" s="25" t="e">
        <f>AND(#REF!,"AAAAAH8rGpU=")</f>
        <v>#REF!</v>
      </c>
      <c r="EU5" s="25" t="e">
        <f>AND(#REF!,"AAAAAH8rGpY=")</f>
        <v>#REF!</v>
      </c>
      <c r="EV5" s="25" t="e">
        <f>AND(#REF!,"AAAAAH8rGpc=")</f>
        <v>#REF!</v>
      </c>
      <c r="EW5" s="25" t="e">
        <f>AND(#REF!,"AAAAAH8rGpg=")</f>
        <v>#REF!</v>
      </c>
      <c r="EX5" s="25" t="e">
        <f>AND(#REF!,"AAAAAH8rGpk=")</f>
        <v>#REF!</v>
      </c>
      <c r="EY5" s="25" t="e">
        <f>AND(#REF!,"AAAAAH8rGpo=")</f>
        <v>#REF!</v>
      </c>
      <c r="EZ5" s="25" t="e">
        <f>AND(#REF!,"AAAAAH8rGps=")</f>
        <v>#REF!</v>
      </c>
      <c r="FA5" s="25" t="e">
        <f>AND(#REF!,"AAAAAH8rGpw=")</f>
        <v>#REF!</v>
      </c>
      <c r="FB5" s="25" t="e">
        <f>AND(#REF!,"AAAAAH8rGp0=")</f>
        <v>#REF!</v>
      </c>
      <c r="FC5" s="25" t="e">
        <f>AND(#REF!,"AAAAAH8rGp4=")</f>
        <v>#REF!</v>
      </c>
      <c r="FD5" s="25" t="e">
        <f>AND(#REF!,"AAAAAH8rGp8=")</f>
        <v>#REF!</v>
      </c>
      <c r="FE5" s="25" t="e">
        <f>AND(#REF!,"AAAAAH8rGqA=")</f>
        <v>#REF!</v>
      </c>
      <c r="FF5" s="25" t="e">
        <f>AND(#REF!,"AAAAAH8rGqE=")</f>
        <v>#REF!</v>
      </c>
      <c r="FG5" s="25" t="e">
        <f>AND(#REF!,"AAAAAH8rGqI=")</f>
        <v>#REF!</v>
      </c>
      <c r="FH5" s="25" t="e">
        <f>AND(#REF!,"AAAAAH8rGqM=")</f>
        <v>#REF!</v>
      </c>
      <c r="FI5" s="25" t="e">
        <f>IF(#REF!,"AAAAAH8rGqQ=",0)</f>
        <v>#REF!</v>
      </c>
      <c r="FJ5" s="25" t="e">
        <f>AND(#REF!,"AAAAAH8rGqU=")</f>
        <v>#REF!</v>
      </c>
      <c r="FK5" s="25" t="e">
        <f>AND(#REF!,"AAAAAH8rGqY=")</f>
        <v>#REF!</v>
      </c>
      <c r="FL5" s="25" t="e">
        <f>AND(#REF!,"AAAAAH8rGqc=")</f>
        <v>#REF!</v>
      </c>
      <c r="FM5" s="25" t="e">
        <f>AND(#REF!,"AAAAAH8rGqg=")</f>
        <v>#REF!</v>
      </c>
      <c r="FN5" s="25" t="e">
        <f>AND(#REF!,"AAAAAH8rGqk=")</f>
        <v>#REF!</v>
      </c>
      <c r="FO5" s="25" t="e">
        <f>AND(#REF!,"AAAAAH8rGqo=")</f>
        <v>#REF!</v>
      </c>
      <c r="FP5" s="25" t="e">
        <f>AND(#REF!,"AAAAAH8rGqs=")</f>
        <v>#REF!</v>
      </c>
      <c r="FQ5" s="25" t="e">
        <f>AND(#REF!,"AAAAAH8rGqw=")</f>
        <v>#REF!</v>
      </c>
      <c r="FR5" s="25" t="e">
        <f>AND(#REF!,"AAAAAH8rGq0=")</f>
        <v>#REF!</v>
      </c>
      <c r="FS5" s="25" t="e">
        <f>AND(#REF!,"AAAAAH8rGq4=")</f>
        <v>#REF!</v>
      </c>
      <c r="FT5" s="25" t="e">
        <f>AND(#REF!,"AAAAAH8rGq8=")</f>
        <v>#REF!</v>
      </c>
      <c r="FU5" s="25" t="e">
        <f>AND(#REF!,"AAAAAH8rGrA=")</f>
        <v>#REF!</v>
      </c>
      <c r="FV5" s="25" t="e">
        <f>AND(#REF!,"AAAAAH8rGrE=")</f>
        <v>#REF!</v>
      </c>
      <c r="FW5" s="25" t="e">
        <f>AND(#REF!,"AAAAAH8rGrI=")</f>
        <v>#REF!</v>
      </c>
      <c r="FX5" s="25" t="e">
        <f>AND(#REF!,"AAAAAH8rGrM=")</f>
        <v>#REF!</v>
      </c>
      <c r="FY5" s="25" t="e">
        <f>AND(#REF!,"AAAAAH8rGrQ=")</f>
        <v>#REF!</v>
      </c>
      <c r="FZ5" s="25" t="e">
        <f>AND(#REF!,"AAAAAH8rGrU=")</f>
        <v>#REF!</v>
      </c>
      <c r="GA5" s="25" t="e">
        <f>AND(#REF!,"AAAAAH8rGrY=")</f>
        <v>#REF!</v>
      </c>
      <c r="GB5" s="25" t="e">
        <f>AND(#REF!,"AAAAAH8rGrc=")</f>
        <v>#REF!</v>
      </c>
      <c r="GC5" s="25" t="e">
        <f>AND(#REF!,"AAAAAH8rGrg=")</f>
        <v>#REF!</v>
      </c>
      <c r="GD5" s="25" t="e">
        <f>AND(#REF!,"AAAAAH8rGrk=")</f>
        <v>#REF!</v>
      </c>
      <c r="GE5" s="25" t="e">
        <f>IF(#REF!,"AAAAAH8rGro=",0)</f>
        <v>#REF!</v>
      </c>
      <c r="GF5" s="25" t="e">
        <f>AND(#REF!,"AAAAAH8rGrs=")</f>
        <v>#REF!</v>
      </c>
      <c r="GG5" s="25" t="e">
        <f>AND(#REF!,"AAAAAH8rGrw=")</f>
        <v>#REF!</v>
      </c>
      <c r="GH5" s="25" t="e">
        <f>AND(#REF!,"AAAAAH8rGr0=")</f>
        <v>#REF!</v>
      </c>
      <c r="GI5" s="25" t="e">
        <f>AND(#REF!,"AAAAAH8rGr4=")</f>
        <v>#REF!</v>
      </c>
      <c r="GJ5" s="25" t="e">
        <f>AND(#REF!,"AAAAAH8rGr8=")</f>
        <v>#REF!</v>
      </c>
      <c r="GK5" s="25" t="e">
        <f>AND(#REF!,"AAAAAH8rGsA=")</f>
        <v>#REF!</v>
      </c>
      <c r="GL5" s="25" t="e">
        <f>AND(#REF!,"AAAAAH8rGsE=")</f>
        <v>#REF!</v>
      </c>
      <c r="GM5" s="25" t="e">
        <f>AND(#REF!,"AAAAAH8rGsI=")</f>
        <v>#REF!</v>
      </c>
      <c r="GN5" s="25" t="e">
        <f>AND(#REF!,"AAAAAH8rGsM=")</f>
        <v>#REF!</v>
      </c>
      <c r="GO5" s="25" t="e">
        <f>AND(#REF!,"AAAAAH8rGsQ=")</f>
        <v>#REF!</v>
      </c>
      <c r="GP5" s="25" t="e">
        <f>AND(#REF!,"AAAAAH8rGsU=")</f>
        <v>#REF!</v>
      </c>
      <c r="GQ5" s="25" t="e">
        <f>AND(#REF!,"AAAAAH8rGsY=")</f>
        <v>#REF!</v>
      </c>
      <c r="GR5" s="25" t="e">
        <f>AND(#REF!,"AAAAAH8rGsc=")</f>
        <v>#REF!</v>
      </c>
      <c r="GS5" s="25" t="e">
        <f>AND(#REF!,"AAAAAH8rGsg=")</f>
        <v>#REF!</v>
      </c>
      <c r="GT5" s="25" t="e">
        <f>AND(#REF!,"AAAAAH8rGsk=")</f>
        <v>#REF!</v>
      </c>
      <c r="GU5" s="25" t="e">
        <f>AND(#REF!,"AAAAAH8rGso=")</f>
        <v>#REF!</v>
      </c>
      <c r="GV5" s="25" t="e">
        <f>AND(#REF!,"AAAAAH8rGss=")</f>
        <v>#REF!</v>
      </c>
      <c r="GW5" s="25" t="e">
        <f>AND(#REF!,"AAAAAH8rGsw=")</f>
        <v>#REF!</v>
      </c>
      <c r="GX5" s="25" t="e">
        <f>AND(#REF!,"AAAAAH8rGs0=")</f>
        <v>#REF!</v>
      </c>
      <c r="GY5" s="25" t="e">
        <f>AND(#REF!,"AAAAAH8rGs4=")</f>
        <v>#REF!</v>
      </c>
      <c r="GZ5" s="25" t="e">
        <f>AND(#REF!,"AAAAAH8rGs8=")</f>
        <v>#REF!</v>
      </c>
      <c r="HA5" s="25" t="e">
        <f>IF(#REF!,"AAAAAH8rGtA=",0)</f>
        <v>#REF!</v>
      </c>
      <c r="HB5" s="25" t="e">
        <f>AND(#REF!,"AAAAAH8rGtE=")</f>
        <v>#REF!</v>
      </c>
      <c r="HC5" s="25" t="e">
        <f>AND(#REF!,"AAAAAH8rGtI=")</f>
        <v>#REF!</v>
      </c>
      <c r="HD5" s="25" t="e">
        <f>AND(#REF!,"AAAAAH8rGtM=")</f>
        <v>#REF!</v>
      </c>
      <c r="HE5" s="25" t="e">
        <f>AND(#REF!,"AAAAAH8rGtQ=")</f>
        <v>#REF!</v>
      </c>
      <c r="HF5" s="25" t="e">
        <f>AND(#REF!,"AAAAAH8rGtU=")</f>
        <v>#REF!</v>
      </c>
      <c r="HG5" s="25" t="e">
        <f>AND(#REF!,"AAAAAH8rGtY=")</f>
        <v>#REF!</v>
      </c>
      <c r="HH5" s="25" t="e">
        <f>AND(#REF!,"AAAAAH8rGtc=")</f>
        <v>#REF!</v>
      </c>
      <c r="HI5" s="25" t="e">
        <f>AND(#REF!,"AAAAAH8rGtg=")</f>
        <v>#REF!</v>
      </c>
      <c r="HJ5" s="25" t="e">
        <f>AND(#REF!,"AAAAAH8rGtk=")</f>
        <v>#REF!</v>
      </c>
      <c r="HK5" s="25" t="e">
        <f>AND(#REF!,"AAAAAH8rGto=")</f>
        <v>#REF!</v>
      </c>
      <c r="HL5" s="25" t="e">
        <f>AND(#REF!,"AAAAAH8rGts=")</f>
        <v>#REF!</v>
      </c>
      <c r="HM5" s="25" t="e">
        <f>AND(#REF!,"AAAAAH8rGtw=")</f>
        <v>#REF!</v>
      </c>
      <c r="HN5" s="25" t="e">
        <f>AND(#REF!,"AAAAAH8rGt0=")</f>
        <v>#REF!</v>
      </c>
      <c r="HO5" s="25" t="e">
        <f>AND(#REF!,"AAAAAH8rGt4=")</f>
        <v>#REF!</v>
      </c>
      <c r="HP5" s="25" t="e">
        <f>AND(#REF!,"AAAAAH8rGt8=")</f>
        <v>#REF!</v>
      </c>
      <c r="HQ5" s="25" t="e">
        <f>AND(#REF!,"AAAAAH8rGuA=")</f>
        <v>#REF!</v>
      </c>
      <c r="HR5" s="25" t="e">
        <f>AND(#REF!,"AAAAAH8rGuE=")</f>
        <v>#REF!</v>
      </c>
      <c r="HS5" s="25" t="e">
        <f>AND(#REF!,"AAAAAH8rGuI=")</f>
        <v>#REF!</v>
      </c>
      <c r="HT5" s="25" t="e">
        <f>AND(#REF!,"AAAAAH8rGuM=")</f>
        <v>#REF!</v>
      </c>
      <c r="HU5" s="25" t="e">
        <f>AND(#REF!,"AAAAAH8rGuQ=")</f>
        <v>#REF!</v>
      </c>
      <c r="HV5" s="25" t="e">
        <f>AND(#REF!,"AAAAAH8rGuU=")</f>
        <v>#REF!</v>
      </c>
      <c r="HW5" s="25" t="e">
        <f>IF(#REF!,"AAAAAH8rGuY=",0)</f>
        <v>#REF!</v>
      </c>
      <c r="HX5" s="25" t="e">
        <f>AND(#REF!,"AAAAAH8rGuc=")</f>
        <v>#REF!</v>
      </c>
      <c r="HY5" s="25" t="e">
        <f>AND(#REF!,"AAAAAH8rGug=")</f>
        <v>#REF!</v>
      </c>
      <c r="HZ5" s="25" t="e">
        <f>AND(#REF!,"AAAAAH8rGuk=")</f>
        <v>#REF!</v>
      </c>
      <c r="IA5" s="25" t="e">
        <f>AND(#REF!,"AAAAAH8rGuo=")</f>
        <v>#REF!</v>
      </c>
      <c r="IB5" s="25" t="e">
        <f>AND(#REF!,"AAAAAH8rGus=")</f>
        <v>#REF!</v>
      </c>
      <c r="IC5" s="25" t="e">
        <f>AND(#REF!,"AAAAAH8rGuw=")</f>
        <v>#REF!</v>
      </c>
      <c r="ID5" s="25" t="e">
        <f>AND(#REF!,"AAAAAH8rGu0=")</f>
        <v>#REF!</v>
      </c>
      <c r="IE5" s="25" t="e">
        <f>AND(#REF!,"AAAAAH8rGu4=")</f>
        <v>#REF!</v>
      </c>
      <c r="IF5" s="25" t="e">
        <f>AND(#REF!,"AAAAAH8rGu8=")</f>
        <v>#REF!</v>
      </c>
      <c r="IG5" s="25" t="e">
        <f>AND(#REF!,"AAAAAH8rGvA=")</f>
        <v>#REF!</v>
      </c>
      <c r="IH5" s="25" t="e">
        <f>AND(#REF!,"AAAAAH8rGvE=")</f>
        <v>#REF!</v>
      </c>
      <c r="II5" s="25" t="e">
        <f>AND(#REF!,"AAAAAH8rGvI=")</f>
        <v>#REF!</v>
      </c>
      <c r="IJ5" s="25" t="e">
        <f>AND(#REF!,"AAAAAH8rGvM=")</f>
        <v>#REF!</v>
      </c>
      <c r="IK5" s="25" t="e">
        <f>AND(#REF!,"AAAAAH8rGvQ=")</f>
        <v>#REF!</v>
      </c>
      <c r="IL5" s="25" t="e">
        <f>AND(#REF!,"AAAAAH8rGvU=")</f>
        <v>#REF!</v>
      </c>
      <c r="IM5" s="25" t="e">
        <f>AND(#REF!,"AAAAAH8rGvY=")</f>
        <v>#REF!</v>
      </c>
      <c r="IN5" s="25" t="e">
        <f>AND(#REF!,"AAAAAH8rGvc=")</f>
        <v>#REF!</v>
      </c>
      <c r="IO5" s="25" t="e">
        <f>AND(#REF!,"AAAAAH8rGvg=")</f>
        <v>#REF!</v>
      </c>
      <c r="IP5" s="25" t="e">
        <f>AND(#REF!,"AAAAAH8rGvk=")</f>
        <v>#REF!</v>
      </c>
      <c r="IQ5" s="25" t="e">
        <f>AND(#REF!,"AAAAAH8rGvo=")</f>
        <v>#REF!</v>
      </c>
      <c r="IR5" s="25" t="e">
        <f>AND(#REF!,"AAAAAH8rGvs=")</f>
        <v>#REF!</v>
      </c>
      <c r="IS5" s="25" t="e">
        <f>IF(#REF!,"AAAAAH8rGvw=",0)</f>
        <v>#REF!</v>
      </c>
      <c r="IT5" s="25" t="e">
        <f>AND(#REF!,"AAAAAH8rGv0=")</f>
        <v>#REF!</v>
      </c>
      <c r="IU5" s="25" t="e">
        <f>AND(#REF!,"AAAAAH8rGv4=")</f>
        <v>#REF!</v>
      </c>
      <c r="IV5" s="25" t="e">
        <f>AND(#REF!,"AAAAAH8rGv8=")</f>
        <v>#REF!</v>
      </c>
    </row>
    <row r="6" spans="1:256" ht="12.75" customHeight="1" x14ac:dyDescent="0.2">
      <c r="A6" s="25" t="e">
        <f>AND(#REF!,"AAAAAGcObQA=")</f>
        <v>#REF!</v>
      </c>
      <c r="B6" s="25" t="e">
        <f>AND(#REF!,"AAAAAGcObQE=")</f>
        <v>#REF!</v>
      </c>
      <c r="C6" s="25" t="e">
        <f>AND(#REF!,"AAAAAGcObQI=")</f>
        <v>#REF!</v>
      </c>
      <c r="D6" s="25" t="e">
        <f>AND(#REF!,"AAAAAGcObQM=")</f>
        <v>#REF!</v>
      </c>
      <c r="E6" s="25" t="e">
        <f>AND(#REF!,"AAAAAGcObQQ=")</f>
        <v>#REF!</v>
      </c>
      <c r="F6" s="25" t="e">
        <f>AND(#REF!,"AAAAAGcObQU=")</f>
        <v>#REF!</v>
      </c>
      <c r="G6" s="25" t="e">
        <f>AND(#REF!,"AAAAAGcObQY=")</f>
        <v>#REF!</v>
      </c>
      <c r="H6" s="25" t="e">
        <f>AND(#REF!,"AAAAAGcObQc=")</f>
        <v>#REF!</v>
      </c>
      <c r="I6" s="25" t="e">
        <f>AND(#REF!,"AAAAAGcObQg=")</f>
        <v>#REF!</v>
      </c>
      <c r="J6" s="25" t="e">
        <f>AND(#REF!,"AAAAAGcObQk=")</f>
        <v>#REF!</v>
      </c>
      <c r="K6" s="25" t="e">
        <f>AND(#REF!,"AAAAAGcObQo=")</f>
        <v>#REF!</v>
      </c>
      <c r="L6" s="25" t="e">
        <f>AND(#REF!,"AAAAAGcObQs=")</f>
        <v>#REF!</v>
      </c>
      <c r="M6" s="25" t="e">
        <f>AND(#REF!,"AAAAAGcObQw=")</f>
        <v>#REF!</v>
      </c>
      <c r="N6" s="25" t="e">
        <f>AND(#REF!,"AAAAAGcObQ0=")</f>
        <v>#REF!</v>
      </c>
      <c r="O6" s="25" t="e">
        <f>AND(#REF!,"AAAAAGcObQ4=")</f>
        <v>#REF!</v>
      </c>
      <c r="P6" s="25" t="e">
        <f>AND(#REF!,"AAAAAGcObQ8=")</f>
        <v>#REF!</v>
      </c>
      <c r="Q6" s="25" t="e">
        <f>AND(#REF!,"AAAAAGcObRA=")</f>
        <v>#REF!</v>
      </c>
      <c r="R6" s="25" t="e">
        <f>AND(#REF!,"AAAAAGcObRE=")</f>
        <v>#REF!</v>
      </c>
      <c r="S6" s="25" t="e">
        <f>IF(#REF!,"AAAAAGcObRI=",0)</f>
        <v>#REF!</v>
      </c>
      <c r="T6" s="25" t="e">
        <f>AND(#REF!,"AAAAAGcObRM=")</f>
        <v>#REF!</v>
      </c>
      <c r="U6" s="25" t="e">
        <f>AND(#REF!,"AAAAAGcObRQ=")</f>
        <v>#REF!</v>
      </c>
      <c r="V6" s="25" t="e">
        <f>AND(#REF!,"AAAAAGcObRU=")</f>
        <v>#REF!</v>
      </c>
      <c r="W6" s="25" t="e">
        <f>AND(#REF!,"AAAAAGcObRY=")</f>
        <v>#REF!</v>
      </c>
      <c r="X6" s="25" t="e">
        <f>AND(#REF!,"AAAAAGcObRc=")</f>
        <v>#REF!</v>
      </c>
      <c r="Y6" s="25" t="e">
        <f>AND(#REF!,"AAAAAGcObRg=")</f>
        <v>#REF!</v>
      </c>
      <c r="Z6" s="25" t="e">
        <f>AND(#REF!,"AAAAAGcObRk=")</f>
        <v>#REF!</v>
      </c>
      <c r="AA6" s="25" t="e">
        <f>AND(#REF!,"AAAAAGcObRo=")</f>
        <v>#REF!</v>
      </c>
      <c r="AB6" s="25" t="e">
        <f>AND(#REF!,"AAAAAGcObRs=")</f>
        <v>#REF!</v>
      </c>
      <c r="AC6" s="25" t="e">
        <f>AND(#REF!,"AAAAAGcObRw=")</f>
        <v>#REF!</v>
      </c>
      <c r="AD6" s="25" t="e">
        <f>AND(#REF!,"AAAAAGcObR0=")</f>
        <v>#REF!</v>
      </c>
      <c r="AE6" s="25" t="e">
        <f>AND(#REF!,"AAAAAGcObR4=")</f>
        <v>#REF!</v>
      </c>
      <c r="AF6" s="25" t="e">
        <f>AND(#REF!,"AAAAAGcObR8=")</f>
        <v>#REF!</v>
      </c>
      <c r="AG6" s="25" t="e">
        <f>AND(#REF!,"AAAAAGcObSA=")</f>
        <v>#REF!</v>
      </c>
      <c r="AH6" s="25" t="e">
        <f>AND(#REF!,"AAAAAGcObSE=")</f>
        <v>#REF!</v>
      </c>
      <c r="AI6" s="25" t="e">
        <f>AND(#REF!,"AAAAAGcObSI=")</f>
        <v>#REF!</v>
      </c>
      <c r="AJ6" s="25" t="e">
        <f>AND(#REF!,"AAAAAGcObSM=")</f>
        <v>#REF!</v>
      </c>
      <c r="AK6" s="25" t="e">
        <f>AND(#REF!,"AAAAAGcObSQ=")</f>
        <v>#REF!</v>
      </c>
      <c r="AL6" s="25" t="e">
        <f>AND(#REF!,"AAAAAGcObSU=")</f>
        <v>#REF!</v>
      </c>
      <c r="AM6" s="25" t="e">
        <f>AND(#REF!,"AAAAAGcObSY=")</f>
        <v>#REF!</v>
      </c>
      <c r="AN6" s="25" t="e">
        <f>AND(#REF!,"AAAAAGcObSc=")</f>
        <v>#REF!</v>
      </c>
      <c r="AO6" s="25" t="e">
        <f>IF(#REF!,"AAAAAGcObSg=",0)</f>
        <v>#REF!</v>
      </c>
      <c r="AP6" s="25" t="e">
        <f>AND(#REF!,"AAAAAGcObSk=")</f>
        <v>#REF!</v>
      </c>
      <c r="AQ6" s="25" t="e">
        <f>AND(#REF!,"AAAAAGcObSo=")</f>
        <v>#REF!</v>
      </c>
      <c r="AR6" s="25" t="e">
        <f>AND(#REF!,"AAAAAGcObSs=")</f>
        <v>#REF!</v>
      </c>
      <c r="AS6" s="25" t="e">
        <f>AND(#REF!,"AAAAAGcObSw=")</f>
        <v>#REF!</v>
      </c>
      <c r="AT6" s="25" t="e">
        <f>AND(#REF!,"AAAAAGcObS0=")</f>
        <v>#REF!</v>
      </c>
      <c r="AU6" s="25" t="e">
        <f>AND(#REF!,"AAAAAGcObS4=")</f>
        <v>#REF!</v>
      </c>
      <c r="AV6" s="25" t="e">
        <f>AND(#REF!,"AAAAAGcObS8=")</f>
        <v>#REF!</v>
      </c>
      <c r="AW6" s="25" t="e">
        <f>AND(#REF!,"AAAAAGcObTA=")</f>
        <v>#REF!</v>
      </c>
      <c r="AX6" s="25" t="e">
        <f>AND(#REF!,"AAAAAGcObTE=")</f>
        <v>#REF!</v>
      </c>
      <c r="AY6" s="25" t="e">
        <f>AND(#REF!,"AAAAAGcObTI=")</f>
        <v>#REF!</v>
      </c>
      <c r="AZ6" s="25" t="e">
        <f>AND(#REF!,"AAAAAGcObTM=")</f>
        <v>#REF!</v>
      </c>
      <c r="BA6" s="25" t="e">
        <f>AND(#REF!,"AAAAAGcObTQ=")</f>
        <v>#REF!</v>
      </c>
      <c r="BB6" s="25" t="e">
        <f>AND(#REF!,"AAAAAGcObTU=")</f>
        <v>#REF!</v>
      </c>
      <c r="BC6" s="25" t="e">
        <f>AND(#REF!,"AAAAAGcObTY=")</f>
        <v>#REF!</v>
      </c>
      <c r="BD6" s="25" t="e">
        <f>AND(#REF!,"AAAAAGcObTc=")</f>
        <v>#REF!</v>
      </c>
      <c r="BE6" s="25" t="e">
        <f>AND(#REF!,"AAAAAGcObTg=")</f>
        <v>#REF!</v>
      </c>
      <c r="BF6" s="25" t="e">
        <f>AND(#REF!,"AAAAAGcObTk=")</f>
        <v>#REF!</v>
      </c>
      <c r="BG6" s="25" t="e">
        <f>AND(#REF!,"AAAAAGcObTo=")</f>
        <v>#REF!</v>
      </c>
      <c r="BH6" s="25" t="e">
        <f>AND(#REF!,"AAAAAGcObTs=")</f>
        <v>#REF!</v>
      </c>
      <c r="BI6" s="25" t="e">
        <f>AND(#REF!,"AAAAAGcObTw=")</f>
        <v>#REF!</v>
      </c>
      <c r="BJ6" s="25" t="e">
        <f>AND(#REF!,"AAAAAGcObT0=")</f>
        <v>#REF!</v>
      </c>
      <c r="BK6" s="25" t="e">
        <f>IF(#REF!,"AAAAAGcObT4=",0)</f>
        <v>#REF!</v>
      </c>
      <c r="BL6" s="25" t="e">
        <f>AND(#REF!,"AAAAAGcObT8=")</f>
        <v>#REF!</v>
      </c>
      <c r="BM6" s="25" t="e">
        <f>AND(#REF!,"AAAAAGcObUA=")</f>
        <v>#REF!</v>
      </c>
      <c r="BN6" s="25" t="e">
        <f>AND(#REF!,"AAAAAGcObUE=")</f>
        <v>#REF!</v>
      </c>
      <c r="BO6" s="25" t="e">
        <f>AND(#REF!,"AAAAAGcObUI=")</f>
        <v>#REF!</v>
      </c>
      <c r="BP6" s="25" t="e">
        <f>AND(#REF!,"AAAAAGcObUM=")</f>
        <v>#REF!</v>
      </c>
      <c r="BQ6" s="25" t="e">
        <f>AND(#REF!,"AAAAAGcObUQ=")</f>
        <v>#REF!</v>
      </c>
      <c r="BR6" s="25" t="e">
        <f>AND(#REF!,"AAAAAGcObUU=")</f>
        <v>#REF!</v>
      </c>
      <c r="BS6" s="25" t="e">
        <f>AND(#REF!,"AAAAAGcObUY=")</f>
        <v>#REF!</v>
      </c>
      <c r="BT6" s="25" t="e">
        <f>AND(#REF!,"AAAAAGcObUc=")</f>
        <v>#REF!</v>
      </c>
      <c r="BU6" s="25" t="e">
        <f>AND(#REF!,"AAAAAGcObUg=")</f>
        <v>#REF!</v>
      </c>
      <c r="BV6" s="25" t="e">
        <f>AND(#REF!,"AAAAAGcObUk=")</f>
        <v>#REF!</v>
      </c>
      <c r="BW6" s="25" t="e">
        <f>AND(#REF!,"AAAAAGcObUo=")</f>
        <v>#REF!</v>
      </c>
      <c r="BX6" s="25" t="e">
        <f>AND(#REF!,"AAAAAGcObUs=")</f>
        <v>#REF!</v>
      </c>
      <c r="BY6" s="25" t="e">
        <f>AND(#REF!,"AAAAAGcObUw=")</f>
        <v>#REF!</v>
      </c>
      <c r="BZ6" s="25" t="e">
        <f>AND(#REF!,"AAAAAGcObU0=")</f>
        <v>#REF!</v>
      </c>
      <c r="CA6" s="25" t="e">
        <f>AND(#REF!,"AAAAAGcObU4=")</f>
        <v>#REF!</v>
      </c>
      <c r="CB6" s="25" t="e">
        <f>AND(#REF!,"AAAAAGcObU8=")</f>
        <v>#REF!</v>
      </c>
      <c r="CC6" s="25" t="e">
        <f>AND(#REF!,"AAAAAGcObVA=")</f>
        <v>#REF!</v>
      </c>
      <c r="CD6" s="25" t="e">
        <f>AND(#REF!,"AAAAAGcObVE=")</f>
        <v>#REF!</v>
      </c>
      <c r="CE6" s="25" t="e">
        <f>AND(#REF!,"AAAAAGcObVI=")</f>
        <v>#REF!</v>
      </c>
      <c r="CF6" s="25" t="e">
        <f>AND(#REF!,"AAAAAGcObVM=")</f>
        <v>#REF!</v>
      </c>
      <c r="CG6" s="25" t="e">
        <f>IF(#REF!,"AAAAAGcObVQ=",0)</f>
        <v>#REF!</v>
      </c>
      <c r="CH6" s="25" t="e">
        <f>AND(#REF!,"AAAAAGcObVU=")</f>
        <v>#REF!</v>
      </c>
      <c r="CI6" s="25" t="e">
        <f>AND(#REF!,"AAAAAGcObVY=")</f>
        <v>#REF!</v>
      </c>
      <c r="CJ6" s="25" t="e">
        <f>AND(#REF!,"AAAAAGcObVc=")</f>
        <v>#REF!</v>
      </c>
      <c r="CK6" s="25" t="e">
        <f>AND(#REF!,"AAAAAGcObVg=")</f>
        <v>#REF!</v>
      </c>
      <c r="CL6" s="25" t="e">
        <f>AND(#REF!,"AAAAAGcObVk=")</f>
        <v>#REF!</v>
      </c>
      <c r="CM6" s="25" t="e">
        <f>AND(#REF!,"AAAAAGcObVo=")</f>
        <v>#REF!</v>
      </c>
      <c r="CN6" s="25" t="e">
        <f>AND(#REF!,"AAAAAGcObVs=")</f>
        <v>#REF!</v>
      </c>
      <c r="CO6" s="25" t="e">
        <f>AND(#REF!,"AAAAAGcObVw=")</f>
        <v>#REF!</v>
      </c>
      <c r="CP6" s="25" t="e">
        <f>AND(#REF!,"AAAAAGcObV0=")</f>
        <v>#REF!</v>
      </c>
      <c r="CQ6" s="25" t="e">
        <f>AND(#REF!,"AAAAAGcObV4=")</f>
        <v>#REF!</v>
      </c>
      <c r="CR6" s="25" t="e">
        <f>AND(#REF!,"AAAAAGcObV8=")</f>
        <v>#REF!</v>
      </c>
      <c r="CS6" s="25" t="e">
        <f>AND(#REF!,"AAAAAGcObWA=")</f>
        <v>#REF!</v>
      </c>
      <c r="CT6" s="25" t="e">
        <f>AND(#REF!,"AAAAAGcObWE=")</f>
        <v>#REF!</v>
      </c>
      <c r="CU6" s="25" t="e">
        <f>AND(#REF!,"AAAAAGcObWI=")</f>
        <v>#REF!</v>
      </c>
      <c r="CV6" s="25" t="e">
        <f>AND(#REF!,"AAAAAGcObWM=")</f>
        <v>#REF!</v>
      </c>
      <c r="CW6" s="25" t="e">
        <f>AND(#REF!,"AAAAAGcObWQ=")</f>
        <v>#REF!</v>
      </c>
      <c r="CX6" s="25" t="e">
        <f>AND(#REF!,"AAAAAGcObWU=")</f>
        <v>#REF!</v>
      </c>
      <c r="CY6" s="25" t="e">
        <f>AND(#REF!,"AAAAAGcObWY=")</f>
        <v>#REF!</v>
      </c>
      <c r="CZ6" s="25" t="e">
        <f>AND(#REF!,"AAAAAGcObWc=")</f>
        <v>#REF!</v>
      </c>
      <c r="DA6" s="25" t="e">
        <f>AND(#REF!,"AAAAAGcObWg=")</f>
        <v>#REF!</v>
      </c>
      <c r="DB6" s="25" t="e">
        <f>AND(#REF!,"AAAAAGcObWk=")</f>
        <v>#REF!</v>
      </c>
      <c r="DC6" s="25" t="e">
        <f>IF(#REF!,"AAAAAGcObWo=",0)</f>
        <v>#REF!</v>
      </c>
      <c r="DD6" s="25" t="e">
        <f>AND(#REF!,"AAAAAGcObWs=")</f>
        <v>#REF!</v>
      </c>
      <c r="DE6" s="25" t="e">
        <f>AND(#REF!,"AAAAAGcObWw=")</f>
        <v>#REF!</v>
      </c>
      <c r="DF6" s="25" t="e">
        <f>AND(#REF!,"AAAAAGcObW0=")</f>
        <v>#REF!</v>
      </c>
      <c r="DG6" s="25" t="e">
        <f>AND(#REF!,"AAAAAGcObW4=")</f>
        <v>#REF!</v>
      </c>
      <c r="DH6" s="25" t="e">
        <f>AND(#REF!,"AAAAAGcObW8=")</f>
        <v>#REF!</v>
      </c>
      <c r="DI6" s="25" t="e">
        <f>AND(#REF!,"AAAAAGcObXA=")</f>
        <v>#REF!</v>
      </c>
      <c r="DJ6" s="25" t="e">
        <f>AND(#REF!,"AAAAAGcObXE=")</f>
        <v>#REF!</v>
      </c>
      <c r="DK6" s="25" t="e">
        <f>AND(#REF!,"AAAAAGcObXI=")</f>
        <v>#REF!</v>
      </c>
      <c r="DL6" s="25" t="e">
        <f>AND(#REF!,"AAAAAGcObXM=")</f>
        <v>#REF!</v>
      </c>
      <c r="DM6" s="25" t="e">
        <f>AND(#REF!,"AAAAAGcObXQ=")</f>
        <v>#REF!</v>
      </c>
      <c r="DN6" s="25" t="e">
        <f>AND(#REF!,"AAAAAGcObXU=")</f>
        <v>#REF!</v>
      </c>
      <c r="DO6" s="25" t="e">
        <f>AND(#REF!,"AAAAAGcObXY=")</f>
        <v>#REF!</v>
      </c>
      <c r="DP6" s="25" t="e">
        <f>AND(#REF!,"AAAAAGcObXc=")</f>
        <v>#REF!</v>
      </c>
      <c r="DQ6" s="25" t="e">
        <f>AND(#REF!,"AAAAAGcObXg=")</f>
        <v>#REF!</v>
      </c>
      <c r="DR6" s="25" t="e">
        <f>AND(#REF!,"AAAAAGcObXk=")</f>
        <v>#REF!</v>
      </c>
      <c r="DS6" s="25" t="e">
        <f>AND(#REF!,"AAAAAGcObXo=")</f>
        <v>#REF!</v>
      </c>
      <c r="DT6" s="25" t="e">
        <f>AND(#REF!,"AAAAAGcObXs=")</f>
        <v>#REF!</v>
      </c>
      <c r="DU6" s="25" t="e">
        <f>AND(#REF!,"AAAAAGcObXw=")</f>
        <v>#REF!</v>
      </c>
      <c r="DV6" s="25" t="e">
        <f>AND(#REF!,"AAAAAGcObX0=")</f>
        <v>#REF!</v>
      </c>
      <c r="DW6" s="25" t="e">
        <f>AND(#REF!,"AAAAAGcObX4=")</f>
        <v>#REF!</v>
      </c>
      <c r="DX6" s="25" t="e">
        <f>AND(#REF!,"AAAAAGcObX8=")</f>
        <v>#REF!</v>
      </c>
      <c r="DY6" s="25" t="e">
        <f>IF(#REF!,"AAAAAGcObYA=",0)</f>
        <v>#REF!</v>
      </c>
      <c r="DZ6" s="25" t="e">
        <f>AND(#REF!,"AAAAAGcObYE=")</f>
        <v>#REF!</v>
      </c>
      <c r="EA6" s="25" t="e">
        <f>AND(#REF!,"AAAAAGcObYI=")</f>
        <v>#REF!</v>
      </c>
      <c r="EB6" s="25" t="e">
        <f>AND(#REF!,"AAAAAGcObYM=")</f>
        <v>#REF!</v>
      </c>
      <c r="EC6" s="25" t="e">
        <f>AND(#REF!,"AAAAAGcObYQ=")</f>
        <v>#REF!</v>
      </c>
      <c r="ED6" s="25" t="e">
        <f>AND(#REF!,"AAAAAGcObYU=")</f>
        <v>#REF!</v>
      </c>
      <c r="EE6" s="25" t="e">
        <f>AND(#REF!,"AAAAAGcObYY=")</f>
        <v>#REF!</v>
      </c>
      <c r="EF6" s="25" t="e">
        <f>AND(#REF!,"AAAAAGcObYc=")</f>
        <v>#REF!</v>
      </c>
      <c r="EG6" s="25" t="e">
        <f>AND(#REF!,"AAAAAGcObYg=")</f>
        <v>#REF!</v>
      </c>
      <c r="EH6" s="25" t="e">
        <f>AND(#REF!,"AAAAAGcObYk=")</f>
        <v>#REF!</v>
      </c>
      <c r="EI6" s="25" t="e">
        <f>AND(#REF!,"AAAAAGcObYo=")</f>
        <v>#REF!</v>
      </c>
      <c r="EJ6" s="25" t="e">
        <f>AND(#REF!,"AAAAAGcObYs=")</f>
        <v>#REF!</v>
      </c>
      <c r="EK6" s="25" t="e">
        <f>AND(#REF!,"AAAAAGcObYw=")</f>
        <v>#REF!</v>
      </c>
      <c r="EL6" s="25" t="e">
        <f>AND(#REF!,"AAAAAGcObY0=")</f>
        <v>#REF!</v>
      </c>
      <c r="EM6" s="25" t="e">
        <f>AND(#REF!,"AAAAAGcObY4=")</f>
        <v>#REF!</v>
      </c>
      <c r="EN6" s="25" t="e">
        <f>AND(#REF!,"AAAAAGcObY8=")</f>
        <v>#REF!</v>
      </c>
      <c r="EO6" s="25" t="e">
        <f>AND(#REF!,"AAAAAGcObZA=")</f>
        <v>#REF!</v>
      </c>
      <c r="EP6" s="25" t="e">
        <f>AND(#REF!,"AAAAAGcObZE=")</f>
        <v>#REF!</v>
      </c>
      <c r="EQ6" s="25" t="e">
        <f>AND(#REF!,"AAAAAGcObZI=")</f>
        <v>#REF!</v>
      </c>
      <c r="ER6" s="25" t="e">
        <f>AND(#REF!,"AAAAAGcObZM=")</f>
        <v>#REF!</v>
      </c>
      <c r="ES6" s="25" t="e">
        <f>AND(#REF!,"AAAAAGcObZQ=")</f>
        <v>#REF!</v>
      </c>
      <c r="ET6" s="25" t="e">
        <f>AND(#REF!,"AAAAAGcObZU=")</f>
        <v>#REF!</v>
      </c>
      <c r="EU6" s="25" t="e">
        <f>IF(#REF!,"AAAAAGcObZY=",0)</f>
        <v>#REF!</v>
      </c>
      <c r="EV6" s="25" t="e">
        <f>AND(#REF!,"AAAAAGcObZc=")</f>
        <v>#REF!</v>
      </c>
      <c r="EW6" s="25" t="e">
        <f>AND(#REF!,"AAAAAGcObZg=")</f>
        <v>#REF!</v>
      </c>
      <c r="EX6" s="25" t="e">
        <f>AND(#REF!,"AAAAAGcObZk=")</f>
        <v>#REF!</v>
      </c>
      <c r="EY6" s="25" t="e">
        <f>AND(#REF!,"AAAAAGcObZo=")</f>
        <v>#REF!</v>
      </c>
      <c r="EZ6" s="25" t="e">
        <f>AND(#REF!,"AAAAAGcObZs=")</f>
        <v>#REF!</v>
      </c>
      <c r="FA6" s="25" t="e">
        <f>AND(#REF!,"AAAAAGcObZw=")</f>
        <v>#REF!</v>
      </c>
      <c r="FB6" s="25" t="e">
        <f>AND(#REF!,"AAAAAGcObZ0=")</f>
        <v>#REF!</v>
      </c>
      <c r="FC6" s="25" t="e">
        <f>AND(#REF!,"AAAAAGcObZ4=")</f>
        <v>#REF!</v>
      </c>
      <c r="FD6" s="25" t="e">
        <f>AND(#REF!,"AAAAAGcObZ8=")</f>
        <v>#REF!</v>
      </c>
      <c r="FE6" s="25" t="e">
        <f>AND(#REF!,"AAAAAGcObaA=")</f>
        <v>#REF!</v>
      </c>
      <c r="FF6" s="25" t="e">
        <f>AND(#REF!,"AAAAAGcObaE=")</f>
        <v>#REF!</v>
      </c>
      <c r="FG6" s="25" t="e">
        <f>AND(#REF!,"AAAAAGcObaI=")</f>
        <v>#REF!</v>
      </c>
      <c r="FH6" s="25" t="e">
        <f>AND(#REF!,"AAAAAGcObaM=")</f>
        <v>#REF!</v>
      </c>
      <c r="FI6" s="25" t="e">
        <f>AND(#REF!,"AAAAAGcObaQ=")</f>
        <v>#REF!</v>
      </c>
      <c r="FJ6" s="25" t="e">
        <f>AND(#REF!,"AAAAAGcObaU=")</f>
        <v>#REF!</v>
      </c>
      <c r="FK6" s="25" t="e">
        <f>AND(#REF!,"AAAAAGcObaY=")</f>
        <v>#REF!</v>
      </c>
      <c r="FL6" s="25" t="e">
        <f>AND(#REF!,"AAAAAGcObac=")</f>
        <v>#REF!</v>
      </c>
      <c r="FM6" s="25" t="e">
        <f>AND(#REF!,"AAAAAGcObag=")</f>
        <v>#REF!</v>
      </c>
      <c r="FN6" s="25" t="e">
        <f>AND(#REF!,"AAAAAGcObak=")</f>
        <v>#REF!</v>
      </c>
      <c r="FO6" s="25" t="e">
        <f>AND(#REF!,"AAAAAGcObao=")</f>
        <v>#REF!</v>
      </c>
      <c r="FP6" s="25" t="e">
        <f>AND(#REF!,"AAAAAGcObas=")</f>
        <v>#REF!</v>
      </c>
      <c r="FQ6" s="25" t="e">
        <f>IF(#REF!,"AAAAAGcObaw=",0)</f>
        <v>#REF!</v>
      </c>
      <c r="FR6" s="25" t="e">
        <f>AND(#REF!,"AAAAAGcOba0=")</f>
        <v>#REF!</v>
      </c>
      <c r="FS6" s="25" t="e">
        <f>AND(#REF!,"AAAAAGcOba4=")</f>
        <v>#REF!</v>
      </c>
      <c r="FT6" s="25" t="e">
        <f>AND(#REF!,"AAAAAGcOba8=")</f>
        <v>#REF!</v>
      </c>
      <c r="FU6" s="25" t="e">
        <f>AND(#REF!,"AAAAAGcObbA=")</f>
        <v>#REF!</v>
      </c>
      <c r="FV6" s="25" t="e">
        <f>AND(#REF!,"AAAAAGcObbE=")</f>
        <v>#REF!</v>
      </c>
      <c r="FW6" s="25" t="e">
        <f>AND(#REF!,"AAAAAGcObbI=")</f>
        <v>#REF!</v>
      </c>
      <c r="FX6" s="25" t="e">
        <f>AND(#REF!,"AAAAAGcObbM=")</f>
        <v>#REF!</v>
      </c>
      <c r="FY6" s="25" t="e">
        <f>AND(#REF!,"AAAAAGcObbQ=")</f>
        <v>#REF!</v>
      </c>
      <c r="FZ6" s="25" t="e">
        <f>AND(#REF!,"AAAAAGcObbU=")</f>
        <v>#REF!</v>
      </c>
      <c r="GA6" s="25" t="e">
        <f>AND(#REF!,"AAAAAGcObbY=")</f>
        <v>#REF!</v>
      </c>
      <c r="GB6" s="25" t="e">
        <f>AND(#REF!,"AAAAAGcObbc=")</f>
        <v>#REF!</v>
      </c>
      <c r="GC6" s="25" t="e">
        <f>AND(#REF!,"AAAAAGcObbg=")</f>
        <v>#REF!</v>
      </c>
      <c r="GD6" s="25" t="e">
        <f>AND(#REF!,"AAAAAGcObbk=")</f>
        <v>#REF!</v>
      </c>
      <c r="GE6" s="25" t="e">
        <f>AND(#REF!,"AAAAAGcObbo=")</f>
        <v>#REF!</v>
      </c>
      <c r="GF6" s="25" t="e">
        <f>AND(#REF!,"AAAAAGcObbs=")</f>
        <v>#REF!</v>
      </c>
      <c r="GG6" s="25" t="e">
        <f>AND(#REF!,"AAAAAGcObbw=")</f>
        <v>#REF!</v>
      </c>
      <c r="GH6" s="25" t="e">
        <f>AND(#REF!,"AAAAAGcObb0=")</f>
        <v>#REF!</v>
      </c>
      <c r="GI6" s="25" t="e">
        <f>AND(#REF!,"AAAAAGcObb4=")</f>
        <v>#REF!</v>
      </c>
      <c r="GJ6" s="25" t="e">
        <f>AND(#REF!,"AAAAAGcObb8=")</f>
        <v>#REF!</v>
      </c>
      <c r="GK6" s="25" t="e">
        <f>AND(#REF!,"AAAAAGcObcA=")</f>
        <v>#REF!</v>
      </c>
      <c r="GL6" s="25" t="e">
        <f>AND(#REF!,"AAAAAGcObcE=")</f>
        <v>#REF!</v>
      </c>
      <c r="GM6" s="25" t="e">
        <f>IF(#REF!,"AAAAAGcObcI=",0)</f>
        <v>#REF!</v>
      </c>
      <c r="GN6" s="25" t="e">
        <f>AND(#REF!,"AAAAAGcObcM=")</f>
        <v>#REF!</v>
      </c>
      <c r="GO6" s="25" t="e">
        <f>AND(#REF!,"AAAAAGcObcQ=")</f>
        <v>#REF!</v>
      </c>
      <c r="GP6" s="25" t="e">
        <f>AND(#REF!,"AAAAAGcObcU=")</f>
        <v>#REF!</v>
      </c>
      <c r="GQ6" s="25" t="e">
        <f>AND(#REF!,"AAAAAGcObcY=")</f>
        <v>#REF!</v>
      </c>
      <c r="GR6" s="25" t="e">
        <f>AND(#REF!,"AAAAAGcObcc=")</f>
        <v>#REF!</v>
      </c>
      <c r="GS6" s="25" t="e">
        <f>AND(#REF!,"AAAAAGcObcg=")</f>
        <v>#REF!</v>
      </c>
      <c r="GT6" s="25" t="e">
        <f>AND(#REF!,"AAAAAGcObck=")</f>
        <v>#REF!</v>
      </c>
      <c r="GU6" s="25" t="e">
        <f>AND(#REF!,"AAAAAGcObco=")</f>
        <v>#REF!</v>
      </c>
      <c r="GV6" s="25" t="e">
        <f>AND(#REF!,"AAAAAGcObcs=")</f>
        <v>#REF!</v>
      </c>
      <c r="GW6" s="25" t="e">
        <f>AND(#REF!,"AAAAAGcObcw=")</f>
        <v>#REF!</v>
      </c>
      <c r="GX6" s="25" t="e">
        <f>AND(#REF!,"AAAAAGcObc0=")</f>
        <v>#REF!</v>
      </c>
      <c r="GY6" s="25" t="e">
        <f>AND(#REF!,"AAAAAGcObc4=")</f>
        <v>#REF!</v>
      </c>
      <c r="GZ6" s="25" t="e">
        <f>AND(#REF!,"AAAAAGcObc8=")</f>
        <v>#REF!</v>
      </c>
      <c r="HA6" s="25" t="e">
        <f>AND(#REF!,"AAAAAGcObdA=")</f>
        <v>#REF!</v>
      </c>
      <c r="HB6" s="25" t="e">
        <f>AND(#REF!,"AAAAAGcObdE=")</f>
        <v>#REF!</v>
      </c>
      <c r="HC6" s="25" t="e">
        <f>AND(#REF!,"AAAAAGcObdI=")</f>
        <v>#REF!</v>
      </c>
      <c r="HD6" s="25" t="e">
        <f>AND(#REF!,"AAAAAGcObdM=")</f>
        <v>#REF!</v>
      </c>
      <c r="HE6" s="25" t="e">
        <f>AND(#REF!,"AAAAAGcObdQ=")</f>
        <v>#REF!</v>
      </c>
      <c r="HF6" s="25" t="e">
        <f>AND(#REF!,"AAAAAGcObdU=")</f>
        <v>#REF!</v>
      </c>
      <c r="HG6" s="25" t="e">
        <f>AND(#REF!,"AAAAAGcObdY=")</f>
        <v>#REF!</v>
      </c>
      <c r="HH6" s="25" t="e">
        <f>AND(#REF!,"AAAAAGcObdc=")</f>
        <v>#REF!</v>
      </c>
      <c r="HI6" s="25" t="e">
        <f>IF(#REF!,"AAAAAGcObdg=",0)</f>
        <v>#REF!</v>
      </c>
      <c r="HJ6" s="25" t="e">
        <f>AND(#REF!,"AAAAAGcObdk=")</f>
        <v>#REF!</v>
      </c>
      <c r="HK6" s="25" t="e">
        <f>AND(#REF!,"AAAAAGcObdo=")</f>
        <v>#REF!</v>
      </c>
      <c r="HL6" s="25" t="e">
        <f>AND(#REF!,"AAAAAGcObds=")</f>
        <v>#REF!</v>
      </c>
      <c r="HM6" s="25" t="e">
        <f>AND(#REF!,"AAAAAGcObdw=")</f>
        <v>#REF!</v>
      </c>
      <c r="HN6" s="25" t="e">
        <f>AND(#REF!,"AAAAAGcObd0=")</f>
        <v>#REF!</v>
      </c>
      <c r="HO6" s="25" t="e">
        <f>AND(#REF!,"AAAAAGcObd4=")</f>
        <v>#REF!</v>
      </c>
      <c r="HP6" s="25" t="e">
        <f>AND(#REF!,"AAAAAGcObd8=")</f>
        <v>#REF!</v>
      </c>
      <c r="HQ6" s="25" t="e">
        <f>AND(#REF!,"AAAAAGcObeA=")</f>
        <v>#REF!</v>
      </c>
      <c r="HR6" s="25" t="e">
        <f>AND(#REF!,"AAAAAGcObeE=")</f>
        <v>#REF!</v>
      </c>
      <c r="HS6" s="25" t="e">
        <f>AND(#REF!,"AAAAAGcObeI=")</f>
        <v>#REF!</v>
      </c>
      <c r="HT6" s="25" t="e">
        <f>AND(#REF!,"AAAAAGcObeM=")</f>
        <v>#REF!</v>
      </c>
      <c r="HU6" s="25" t="e">
        <f>AND(#REF!,"AAAAAGcObeQ=")</f>
        <v>#REF!</v>
      </c>
      <c r="HV6" s="25" t="e">
        <f>AND(#REF!,"AAAAAGcObeU=")</f>
        <v>#REF!</v>
      </c>
      <c r="HW6" s="25" t="e">
        <f>AND(#REF!,"AAAAAGcObeY=")</f>
        <v>#REF!</v>
      </c>
      <c r="HX6" s="25" t="e">
        <f>AND(#REF!,"AAAAAGcObec=")</f>
        <v>#REF!</v>
      </c>
      <c r="HY6" s="25" t="e">
        <f>AND(#REF!,"AAAAAGcObeg=")</f>
        <v>#REF!</v>
      </c>
      <c r="HZ6" s="25" t="e">
        <f>AND(#REF!,"AAAAAGcObek=")</f>
        <v>#REF!</v>
      </c>
      <c r="IA6" s="25" t="e">
        <f>AND(#REF!,"AAAAAGcObeo=")</f>
        <v>#REF!</v>
      </c>
      <c r="IB6" s="25" t="e">
        <f>AND(#REF!,"AAAAAGcObes=")</f>
        <v>#REF!</v>
      </c>
      <c r="IC6" s="25" t="e">
        <f>AND(#REF!,"AAAAAGcObew=")</f>
        <v>#REF!</v>
      </c>
      <c r="ID6" s="25" t="e">
        <f>AND(#REF!,"AAAAAGcObe0=")</f>
        <v>#REF!</v>
      </c>
      <c r="IE6" s="25" t="e">
        <f>IF(#REF!,"AAAAAGcObe4=",0)</f>
        <v>#REF!</v>
      </c>
      <c r="IF6" s="25" t="e">
        <f>AND(#REF!,"AAAAAGcObe8=")</f>
        <v>#REF!</v>
      </c>
      <c r="IG6" s="25" t="e">
        <f>AND(#REF!,"AAAAAGcObfA=")</f>
        <v>#REF!</v>
      </c>
      <c r="IH6" s="25" t="e">
        <f>AND(#REF!,"AAAAAGcObfE=")</f>
        <v>#REF!</v>
      </c>
      <c r="II6" s="25" t="e">
        <f>AND(#REF!,"AAAAAGcObfI=")</f>
        <v>#REF!</v>
      </c>
      <c r="IJ6" s="25" t="e">
        <f>AND(#REF!,"AAAAAGcObfM=")</f>
        <v>#REF!</v>
      </c>
      <c r="IK6" s="25" t="e">
        <f>AND(#REF!,"AAAAAGcObfQ=")</f>
        <v>#REF!</v>
      </c>
      <c r="IL6" s="25" t="e">
        <f>AND(#REF!,"AAAAAGcObfU=")</f>
        <v>#REF!</v>
      </c>
      <c r="IM6" s="25" t="e">
        <f>AND(#REF!,"AAAAAGcObfY=")</f>
        <v>#REF!</v>
      </c>
      <c r="IN6" s="25" t="e">
        <f>AND(#REF!,"AAAAAGcObfc=")</f>
        <v>#REF!</v>
      </c>
      <c r="IO6" s="25" t="e">
        <f>AND(#REF!,"AAAAAGcObfg=")</f>
        <v>#REF!</v>
      </c>
      <c r="IP6" s="25" t="e">
        <f>AND(#REF!,"AAAAAGcObfk=")</f>
        <v>#REF!</v>
      </c>
      <c r="IQ6" s="25" t="e">
        <f>AND(#REF!,"AAAAAGcObfo=")</f>
        <v>#REF!</v>
      </c>
      <c r="IR6" s="25" t="e">
        <f>AND(#REF!,"AAAAAGcObfs=")</f>
        <v>#REF!</v>
      </c>
      <c r="IS6" s="25" t="e">
        <f>AND(#REF!,"AAAAAGcObfw=")</f>
        <v>#REF!</v>
      </c>
      <c r="IT6" s="25" t="e">
        <f>AND(#REF!,"AAAAAGcObf0=")</f>
        <v>#REF!</v>
      </c>
      <c r="IU6" s="25" t="e">
        <f>AND(#REF!,"AAAAAGcObf4=")</f>
        <v>#REF!</v>
      </c>
      <c r="IV6" s="25" t="e">
        <f>AND(#REF!,"AAAAAGcObf8=")</f>
        <v>#REF!</v>
      </c>
    </row>
    <row r="7" spans="1:256" ht="12.75" customHeight="1" x14ac:dyDescent="0.2">
      <c r="A7" s="25" t="e">
        <f>AND(#REF!,"AAAAAHP2nwA=")</f>
        <v>#REF!</v>
      </c>
      <c r="B7" s="25" t="e">
        <f>AND(#REF!,"AAAAAHP2nwE=")</f>
        <v>#REF!</v>
      </c>
      <c r="C7" s="25" t="e">
        <f>AND(#REF!,"AAAAAHP2nwI=")</f>
        <v>#REF!</v>
      </c>
      <c r="D7" s="25" t="e">
        <f>AND(#REF!,"AAAAAHP2nwM=")</f>
        <v>#REF!</v>
      </c>
      <c r="E7" s="25" t="e">
        <f>IF(#REF!,"AAAAAHP2nwQ=",0)</f>
        <v>#REF!</v>
      </c>
      <c r="F7" s="25" t="e">
        <f>AND(#REF!,"AAAAAHP2nwU=")</f>
        <v>#REF!</v>
      </c>
      <c r="G7" s="25" t="e">
        <f>AND(#REF!,"AAAAAHP2nwY=")</f>
        <v>#REF!</v>
      </c>
      <c r="H7" s="25" t="e">
        <f>AND(#REF!,"AAAAAHP2nwc=")</f>
        <v>#REF!</v>
      </c>
      <c r="I7" s="25" t="e">
        <f>AND(#REF!,"AAAAAHP2nwg=")</f>
        <v>#REF!</v>
      </c>
      <c r="J7" s="25" t="e">
        <f>AND(#REF!,"AAAAAHP2nwk=")</f>
        <v>#REF!</v>
      </c>
      <c r="K7" s="25" t="e">
        <f>AND(#REF!,"AAAAAHP2nwo=")</f>
        <v>#REF!</v>
      </c>
      <c r="L7" s="25" t="e">
        <f>AND(#REF!,"AAAAAHP2nws=")</f>
        <v>#REF!</v>
      </c>
      <c r="M7" s="25" t="e">
        <f>AND(#REF!,"AAAAAHP2nww=")</f>
        <v>#REF!</v>
      </c>
      <c r="N7" s="25" t="e">
        <f>AND(#REF!,"AAAAAHP2nw0=")</f>
        <v>#REF!</v>
      </c>
      <c r="O7" s="25" t="e">
        <f>AND(#REF!,"AAAAAHP2nw4=")</f>
        <v>#REF!</v>
      </c>
      <c r="P7" s="25" t="e">
        <f>AND(#REF!,"AAAAAHP2nw8=")</f>
        <v>#REF!</v>
      </c>
      <c r="Q7" s="25" t="e">
        <f>AND(#REF!,"AAAAAHP2nxA=")</f>
        <v>#REF!</v>
      </c>
      <c r="R7" s="25" t="e">
        <f>AND(#REF!,"AAAAAHP2nxE=")</f>
        <v>#REF!</v>
      </c>
      <c r="S7" s="25" t="e">
        <f>AND(#REF!,"AAAAAHP2nxI=")</f>
        <v>#REF!</v>
      </c>
      <c r="T7" s="25" t="e">
        <f>AND(#REF!,"AAAAAHP2nxM=")</f>
        <v>#REF!</v>
      </c>
      <c r="U7" s="25" t="e">
        <f>AND(#REF!,"AAAAAHP2nxQ=")</f>
        <v>#REF!</v>
      </c>
      <c r="V7" s="25" t="e">
        <f>AND(#REF!,"AAAAAHP2nxU=")</f>
        <v>#REF!</v>
      </c>
      <c r="W7" s="25" t="e">
        <f>AND(#REF!,"AAAAAHP2nxY=")</f>
        <v>#REF!</v>
      </c>
      <c r="X7" s="25" t="e">
        <f>AND(#REF!,"AAAAAHP2nxc=")</f>
        <v>#REF!</v>
      </c>
      <c r="Y7" s="25" t="e">
        <f>AND(#REF!,"AAAAAHP2nxg=")</f>
        <v>#REF!</v>
      </c>
      <c r="Z7" s="25" t="e">
        <f>AND(#REF!,"AAAAAHP2nxk=")</f>
        <v>#REF!</v>
      </c>
      <c r="AA7" s="25" t="e">
        <f>IF(#REF!,"AAAAAHP2nxo=",0)</f>
        <v>#REF!</v>
      </c>
      <c r="AB7" s="25" t="e">
        <f>AND(#REF!,"AAAAAHP2nxs=")</f>
        <v>#REF!</v>
      </c>
      <c r="AC7" s="25" t="e">
        <f>AND(#REF!,"AAAAAHP2nxw=")</f>
        <v>#REF!</v>
      </c>
      <c r="AD7" s="25" t="e">
        <f>AND(#REF!,"AAAAAHP2nx0=")</f>
        <v>#REF!</v>
      </c>
      <c r="AE7" s="25" t="e">
        <f>AND(#REF!,"AAAAAHP2nx4=")</f>
        <v>#REF!</v>
      </c>
      <c r="AF7" s="25" t="e">
        <f>AND(#REF!,"AAAAAHP2nx8=")</f>
        <v>#REF!</v>
      </c>
      <c r="AG7" s="25" t="e">
        <f>AND(#REF!,"AAAAAHP2nyA=")</f>
        <v>#REF!</v>
      </c>
      <c r="AH7" s="25" t="e">
        <f>AND(#REF!,"AAAAAHP2nyE=")</f>
        <v>#REF!</v>
      </c>
      <c r="AI7" s="25" t="e">
        <f>AND(#REF!,"AAAAAHP2nyI=")</f>
        <v>#REF!</v>
      </c>
      <c r="AJ7" s="25" t="e">
        <f>AND(#REF!,"AAAAAHP2nyM=")</f>
        <v>#REF!</v>
      </c>
      <c r="AK7" s="25" t="e">
        <f>AND(#REF!,"AAAAAHP2nyQ=")</f>
        <v>#REF!</v>
      </c>
      <c r="AL7" s="25" t="e">
        <f>AND(#REF!,"AAAAAHP2nyU=")</f>
        <v>#REF!</v>
      </c>
      <c r="AM7" s="25" t="e">
        <f>AND(#REF!,"AAAAAHP2nyY=")</f>
        <v>#REF!</v>
      </c>
      <c r="AN7" s="25" t="e">
        <f>AND(#REF!,"AAAAAHP2nyc=")</f>
        <v>#REF!</v>
      </c>
      <c r="AO7" s="25" t="e">
        <f>AND(#REF!,"AAAAAHP2nyg=")</f>
        <v>#REF!</v>
      </c>
      <c r="AP7" s="25" t="e">
        <f>AND(#REF!,"AAAAAHP2nyk=")</f>
        <v>#REF!</v>
      </c>
      <c r="AQ7" s="25" t="e">
        <f>AND(#REF!,"AAAAAHP2nyo=")</f>
        <v>#REF!</v>
      </c>
      <c r="AR7" s="25" t="e">
        <f>AND(#REF!,"AAAAAHP2nys=")</f>
        <v>#REF!</v>
      </c>
      <c r="AS7" s="25" t="e">
        <f>AND(#REF!,"AAAAAHP2nyw=")</f>
        <v>#REF!</v>
      </c>
      <c r="AT7" s="25" t="e">
        <f>AND(#REF!,"AAAAAHP2ny0=")</f>
        <v>#REF!</v>
      </c>
      <c r="AU7" s="25" t="e">
        <f>AND(#REF!,"AAAAAHP2ny4=")</f>
        <v>#REF!</v>
      </c>
      <c r="AV7" s="25" t="e">
        <f>AND(#REF!,"AAAAAHP2ny8=")</f>
        <v>#REF!</v>
      </c>
      <c r="AW7" s="25" t="e">
        <f>IF(#REF!,"AAAAAHP2nzA=",0)</f>
        <v>#REF!</v>
      </c>
      <c r="AX7" s="25" t="e">
        <f>AND(#REF!,"AAAAAHP2nzE=")</f>
        <v>#REF!</v>
      </c>
      <c r="AY7" s="25" t="e">
        <f>AND(#REF!,"AAAAAHP2nzI=")</f>
        <v>#REF!</v>
      </c>
      <c r="AZ7" s="25" t="e">
        <f>AND(#REF!,"AAAAAHP2nzM=")</f>
        <v>#REF!</v>
      </c>
      <c r="BA7" s="25" t="e">
        <f>AND(#REF!,"AAAAAHP2nzQ=")</f>
        <v>#REF!</v>
      </c>
      <c r="BB7" s="25" t="e">
        <f>AND(#REF!,"AAAAAHP2nzU=")</f>
        <v>#REF!</v>
      </c>
      <c r="BC7" s="25" t="e">
        <f>AND(#REF!,"AAAAAHP2nzY=")</f>
        <v>#REF!</v>
      </c>
      <c r="BD7" s="25" t="e">
        <f>AND(#REF!,"AAAAAHP2nzc=")</f>
        <v>#REF!</v>
      </c>
      <c r="BE7" s="25" t="e">
        <f>AND(#REF!,"AAAAAHP2nzg=")</f>
        <v>#REF!</v>
      </c>
      <c r="BF7" s="25" t="e">
        <f>AND(#REF!,"AAAAAHP2nzk=")</f>
        <v>#REF!</v>
      </c>
      <c r="BG7" s="25" t="e">
        <f>AND(#REF!,"AAAAAHP2nzo=")</f>
        <v>#REF!</v>
      </c>
      <c r="BH7" s="25" t="e">
        <f>AND(#REF!,"AAAAAHP2nzs=")</f>
        <v>#REF!</v>
      </c>
      <c r="BI7" s="25" t="e">
        <f>AND(#REF!,"AAAAAHP2nzw=")</f>
        <v>#REF!</v>
      </c>
      <c r="BJ7" s="25" t="e">
        <f>AND(#REF!,"AAAAAHP2nz0=")</f>
        <v>#REF!</v>
      </c>
      <c r="BK7" s="25" t="e">
        <f>AND(#REF!,"AAAAAHP2nz4=")</f>
        <v>#REF!</v>
      </c>
      <c r="BL7" s="25" t="e">
        <f>AND(#REF!,"AAAAAHP2nz8=")</f>
        <v>#REF!</v>
      </c>
      <c r="BM7" s="25" t="e">
        <f>AND(#REF!,"AAAAAHP2n0A=")</f>
        <v>#REF!</v>
      </c>
      <c r="BN7" s="25" t="e">
        <f>AND(#REF!,"AAAAAHP2n0E=")</f>
        <v>#REF!</v>
      </c>
      <c r="BO7" s="25" t="e">
        <f>AND(#REF!,"AAAAAHP2n0I=")</f>
        <v>#REF!</v>
      </c>
      <c r="BP7" s="25" t="e">
        <f>AND(#REF!,"AAAAAHP2n0M=")</f>
        <v>#REF!</v>
      </c>
      <c r="BQ7" s="25" t="e">
        <f>AND(#REF!,"AAAAAHP2n0Q=")</f>
        <v>#REF!</v>
      </c>
      <c r="BR7" s="25" t="e">
        <f>AND(#REF!,"AAAAAHP2n0U=")</f>
        <v>#REF!</v>
      </c>
      <c r="BS7" s="25" t="e">
        <f>IF(#REF!,"AAAAAHP2n0Y=",0)</f>
        <v>#REF!</v>
      </c>
      <c r="BT7" s="25" t="e">
        <f>AND(#REF!,"AAAAAHP2n0c=")</f>
        <v>#REF!</v>
      </c>
      <c r="BU7" s="25" t="e">
        <f>AND(#REF!,"AAAAAHP2n0g=")</f>
        <v>#REF!</v>
      </c>
      <c r="BV7" s="25" t="e">
        <f>AND(#REF!,"AAAAAHP2n0k=")</f>
        <v>#REF!</v>
      </c>
      <c r="BW7" s="25" t="e">
        <f>AND(#REF!,"AAAAAHP2n0o=")</f>
        <v>#REF!</v>
      </c>
      <c r="BX7" s="25" t="e">
        <f>AND(#REF!,"AAAAAHP2n0s=")</f>
        <v>#REF!</v>
      </c>
      <c r="BY7" s="25" t="e">
        <f>AND(#REF!,"AAAAAHP2n0w=")</f>
        <v>#REF!</v>
      </c>
      <c r="BZ7" s="25" t="e">
        <f>AND(#REF!,"AAAAAHP2n00=")</f>
        <v>#REF!</v>
      </c>
      <c r="CA7" s="25" t="e">
        <f>AND(#REF!,"AAAAAHP2n04=")</f>
        <v>#REF!</v>
      </c>
      <c r="CB7" s="25" t="e">
        <f>AND(#REF!,"AAAAAHP2n08=")</f>
        <v>#REF!</v>
      </c>
      <c r="CC7" s="25" t="e">
        <f>AND(#REF!,"AAAAAHP2n1A=")</f>
        <v>#REF!</v>
      </c>
      <c r="CD7" s="25" t="e">
        <f>AND(#REF!,"AAAAAHP2n1E=")</f>
        <v>#REF!</v>
      </c>
      <c r="CE7" s="25" t="e">
        <f>AND(#REF!,"AAAAAHP2n1I=")</f>
        <v>#REF!</v>
      </c>
      <c r="CF7" s="25" t="e">
        <f>AND(#REF!,"AAAAAHP2n1M=")</f>
        <v>#REF!</v>
      </c>
      <c r="CG7" s="25" t="e">
        <f>AND(#REF!,"AAAAAHP2n1Q=")</f>
        <v>#REF!</v>
      </c>
      <c r="CH7" s="25" t="e">
        <f>AND(#REF!,"AAAAAHP2n1U=")</f>
        <v>#REF!</v>
      </c>
      <c r="CI7" s="25" t="e">
        <f>AND(#REF!,"AAAAAHP2n1Y=")</f>
        <v>#REF!</v>
      </c>
      <c r="CJ7" s="25" t="e">
        <f>AND(#REF!,"AAAAAHP2n1c=")</f>
        <v>#REF!</v>
      </c>
      <c r="CK7" s="25" t="e">
        <f>AND(#REF!,"AAAAAHP2n1g=")</f>
        <v>#REF!</v>
      </c>
      <c r="CL7" s="25" t="e">
        <f>AND(#REF!,"AAAAAHP2n1k=")</f>
        <v>#REF!</v>
      </c>
      <c r="CM7" s="25" t="e">
        <f>AND(#REF!,"AAAAAHP2n1o=")</f>
        <v>#REF!</v>
      </c>
      <c r="CN7" s="25" t="e">
        <f>AND(#REF!,"AAAAAHP2n1s=")</f>
        <v>#REF!</v>
      </c>
      <c r="CO7" s="25" t="e">
        <f>IF(#REF!,"AAAAAHP2n1w=",0)</f>
        <v>#REF!</v>
      </c>
      <c r="CP7" s="25" t="e">
        <f>AND(#REF!,"AAAAAHP2n10=")</f>
        <v>#REF!</v>
      </c>
      <c r="CQ7" s="25" t="e">
        <f>AND(#REF!,"AAAAAHP2n14=")</f>
        <v>#REF!</v>
      </c>
      <c r="CR7" s="25" t="e">
        <f>AND(#REF!,"AAAAAHP2n18=")</f>
        <v>#REF!</v>
      </c>
      <c r="CS7" s="25" t="e">
        <f>AND(#REF!,"AAAAAHP2n2A=")</f>
        <v>#REF!</v>
      </c>
      <c r="CT7" s="25" t="e">
        <f>AND(#REF!,"AAAAAHP2n2E=")</f>
        <v>#REF!</v>
      </c>
      <c r="CU7" s="25" t="e">
        <f>AND(#REF!,"AAAAAHP2n2I=")</f>
        <v>#REF!</v>
      </c>
      <c r="CV7" s="25" t="e">
        <f>AND(#REF!,"AAAAAHP2n2M=")</f>
        <v>#REF!</v>
      </c>
      <c r="CW7" s="25" t="e">
        <f>AND(#REF!,"AAAAAHP2n2Q=")</f>
        <v>#REF!</v>
      </c>
      <c r="CX7" s="25" t="e">
        <f>AND(#REF!,"AAAAAHP2n2U=")</f>
        <v>#REF!</v>
      </c>
      <c r="CY7" s="25" t="e">
        <f>AND(#REF!,"AAAAAHP2n2Y=")</f>
        <v>#REF!</v>
      </c>
      <c r="CZ7" s="25" t="e">
        <f>AND(#REF!,"AAAAAHP2n2c=")</f>
        <v>#REF!</v>
      </c>
      <c r="DA7" s="25" t="e">
        <f>AND(#REF!,"AAAAAHP2n2g=")</f>
        <v>#REF!</v>
      </c>
      <c r="DB7" s="25" t="e">
        <f>AND(#REF!,"AAAAAHP2n2k=")</f>
        <v>#REF!</v>
      </c>
      <c r="DC7" s="25" t="e">
        <f>AND(#REF!,"AAAAAHP2n2o=")</f>
        <v>#REF!</v>
      </c>
      <c r="DD7" s="25" t="e">
        <f>AND(#REF!,"AAAAAHP2n2s=")</f>
        <v>#REF!</v>
      </c>
      <c r="DE7" s="25" t="e">
        <f>AND(#REF!,"AAAAAHP2n2w=")</f>
        <v>#REF!</v>
      </c>
      <c r="DF7" s="25" t="e">
        <f>AND(#REF!,"AAAAAHP2n20=")</f>
        <v>#REF!</v>
      </c>
      <c r="DG7" s="25" t="e">
        <f>AND(#REF!,"AAAAAHP2n24=")</f>
        <v>#REF!</v>
      </c>
      <c r="DH7" s="25" t="e">
        <f>AND(#REF!,"AAAAAHP2n28=")</f>
        <v>#REF!</v>
      </c>
      <c r="DI7" s="25" t="e">
        <f>AND(#REF!,"AAAAAHP2n3A=")</f>
        <v>#REF!</v>
      </c>
      <c r="DJ7" s="25" t="e">
        <f>AND(#REF!,"AAAAAHP2n3E=")</f>
        <v>#REF!</v>
      </c>
      <c r="DK7" s="25" t="e">
        <f>IF(#REF!,"AAAAAHP2n3I=",0)</f>
        <v>#REF!</v>
      </c>
      <c r="DL7" s="25" t="e">
        <f>AND(#REF!,"AAAAAHP2n3M=")</f>
        <v>#REF!</v>
      </c>
      <c r="DM7" s="25" t="e">
        <f>AND(#REF!,"AAAAAHP2n3Q=")</f>
        <v>#REF!</v>
      </c>
      <c r="DN7" s="25" t="e">
        <f>AND(#REF!,"AAAAAHP2n3U=")</f>
        <v>#REF!</v>
      </c>
      <c r="DO7" s="25" t="e">
        <f>AND(#REF!,"AAAAAHP2n3Y=")</f>
        <v>#REF!</v>
      </c>
      <c r="DP7" s="25" t="e">
        <f>AND(#REF!,"AAAAAHP2n3c=")</f>
        <v>#REF!</v>
      </c>
      <c r="DQ7" s="25" t="e">
        <f>AND(#REF!,"AAAAAHP2n3g=")</f>
        <v>#REF!</v>
      </c>
      <c r="DR7" s="25" t="e">
        <f>AND(#REF!,"AAAAAHP2n3k=")</f>
        <v>#REF!</v>
      </c>
      <c r="DS7" s="25" t="e">
        <f>AND(#REF!,"AAAAAHP2n3o=")</f>
        <v>#REF!</v>
      </c>
      <c r="DT7" s="25" t="e">
        <f>AND(#REF!,"AAAAAHP2n3s=")</f>
        <v>#REF!</v>
      </c>
      <c r="DU7" s="25" t="e">
        <f>AND(#REF!,"AAAAAHP2n3w=")</f>
        <v>#REF!</v>
      </c>
      <c r="DV7" s="25" t="e">
        <f>AND(#REF!,"AAAAAHP2n30=")</f>
        <v>#REF!</v>
      </c>
      <c r="DW7" s="25" t="e">
        <f>AND(#REF!,"AAAAAHP2n34=")</f>
        <v>#REF!</v>
      </c>
      <c r="DX7" s="25" t="e">
        <f>AND(#REF!,"AAAAAHP2n38=")</f>
        <v>#REF!</v>
      </c>
      <c r="DY7" s="25" t="e">
        <f>AND(#REF!,"AAAAAHP2n4A=")</f>
        <v>#REF!</v>
      </c>
      <c r="DZ7" s="25" t="e">
        <f>AND(#REF!,"AAAAAHP2n4E=")</f>
        <v>#REF!</v>
      </c>
      <c r="EA7" s="25" t="e">
        <f>AND(#REF!,"AAAAAHP2n4I=")</f>
        <v>#REF!</v>
      </c>
      <c r="EB7" s="25" t="e">
        <f>AND(#REF!,"AAAAAHP2n4M=")</f>
        <v>#REF!</v>
      </c>
      <c r="EC7" s="25" t="e">
        <f>AND(#REF!,"AAAAAHP2n4Q=")</f>
        <v>#REF!</v>
      </c>
      <c r="ED7" s="25" t="e">
        <f>AND(#REF!,"AAAAAHP2n4U=")</f>
        <v>#REF!</v>
      </c>
      <c r="EE7" s="25" t="e">
        <f>AND(#REF!,"AAAAAHP2n4Y=")</f>
        <v>#REF!</v>
      </c>
      <c r="EF7" s="25" t="e">
        <f>AND(#REF!,"AAAAAHP2n4c=")</f>
        <v>#REF!</v>
      </c>
      <c r="EG7" s="25" t="e">
        <f>IF(#REF!,"AAAAAHP2n4g=",0)</f>
        <v>#REF!</v>
      </c>
      <c r="EH7" s="25" t="e">
        <f>AND(#REF!,"AAAAAHP2n4k=")</f>
        <v>#REF!</v>
      </c>
      <c r="EI7" s="25" t="e">
        <f>AND(#REF!,"AAAAAHP2n4o=")</f>
        <v>#REF!</v>
      </c>
      <c r="EJ7" s="25" t="e">
        <f>AND(#REF!,"AAAAAHP2n4s=")</f>
        <v>#REF!</v>
      </c>
      <c r="EK7" s="25" t="e">
        <f>AND(#REF!,"AAAAAHP2n4w=")</f>
        <v>#REF!</v>
      </c>
      <c r="EL7" s="25" t="e">
        <f>AND(#REF!,"AAAAAHP2n40=")</f>
        <v>#REF!</v>
      </c>
      <c r="EM7" s="25" t="e">
        <f>AND(#REF!,"AAAAAHP2n44=")</f>
        <v>#REF!</v>
      </c>
      <c r="EN7" s="25" t="e">
        <f>AND(#REF!,"AAAAAHP2n48=")</f>
        <v>#REF!</v>
      </c>
      <c r="EO7" s="25" t="e">
        <f>AND(#REF!,"AAAAAHP2n5A=")</f>
        <v>#REF!</v>
      </c>
      <c r="EP7" s="25" t="e">
        <f>AND(#REF!,"AAAAAHP2n5E=")</f>
        <v>#REF!</v>
      </c>
      <c r="EQ7" s="25" t="e">
        <f>AND(#REF!,"AAAAAHP2n5I=")</f>
        <v>#REF!</v>
      </c>
      <c r="ER7" s="25" t="e">
        <f>AND(#REF!,"AAAAAHP2n5M=")</f>
        <v>#REF!</v>
      </c>
      <c r="ES7" s="25" t="e">
        <f>AND(#REF!,"AAAAAHP2n5Q=")</f>
        <v>#REF!</v>
      </c>
      <c r="ET7" s="25" t="e">
        <f>AND(#REF!,"AAAAAHP2n5U=")</f>
        <v>#REF!</v>
      </c>
      <c r="EU7" s="25" t="e">
        <f>AND(#REF!,"AAAAAHP2n5Y=")</f>
        <v>#REF!</v>
      </c>
      <c r="EV7" s="25" t="e">
        <f>AND(#REF!,"AAAAAHP2n5c=")</f>
        <v>#REF!</v>
      </c>
      <c r="EW7" s="25" t="e">
        <f>AND(#REF!,"AAAAAHP2n5g=")</f>
        <v>#REF!</v>
      </c>
      <c r="EX7" s="25" t="e">
        <f>AND(#REF!,"AAAAAHP2n5k=")</f>
        <v>#REF!</v>
      </c>
      <c r="EY7" s="25" t="e">
        <f>AND(#REF!,"AAAAAHP2n5o=")</f>
        <v>#REF!</v>
      </c>
      <c r="EZ7" s="25" t="e">
        <f>AND(#REF!,"AAAAAHP2n5s=")</f>
        <v>#REF!</v>
      </c>
      <c r="FA7" s="25" t="e">
        <f>AND(#REF!,"AAAAAHP2n5w=")</f>
        <v>#REF!</v>
      </c>
      <c r="FB7" s="25" t="e">
        <f>AND(#REF!,"AAAAAHP2n50=")</f>
        <v>#REF!</v>
      </c>
      <c r="FC7" s="25" t="e">
        <f>IF(#REF!,"AAAAAHP2n54=",0)</f>
        <v>#REF!</v>
      </c>
      <c r="FD7" s="25" t="e">
        <f>AND(#REF!,"AAAAAHP2n58=")</f>
        <v>#REF!</v>
      </c>
      <c r="FE7" s="25" t="e">
        <f>AND(#REF!,"AAAAAHP2n6A=")</f>
        <v>#REF!</v>
      </c>
      <c r="FF7" s="25" t="e">
        <f>AND(#REF!,"AAAAAHP2n6E=")</f>
        <v>#REF!</v>
      </c>
      <c r="FG7" s="25" t="e">
        <f>AND(#REF!,"AAAAAHP2n6I=")</f>
        <v>#REF!</v>
      </c>
      <c r="FH7" s="25" t="e">
        <f>AND(#REF!,"AAAAAHP2n6M=")</f>
        <v>#REF!</v>
      </c>
      <c r="FI7" s="25" t="e">
        <f>AND(#REF!,"AAAAAHP2n6Q=")</f>
        <v>#REF!</v>
      </c>
      <c r="FJ7" s="25" t="e">
        <f>AND(#REF!,"AAAAAHP2n6U=")</f>
        <v>#REF!</v>
      </c>
      <c r="FK7" s="25" t="e">
        <f>AND(#REF!,"AAAAAHP2n6Y=")</f>
        <v>#REF!</v>
      </c>
      <c r="FL7" s="25" t="e">
        <f>AND(#REF!,"AAAAAHP2n6c=")</f>
        <v>#REF!</v>
      </c>
      <c r="FM7" s="25" t="e">
        <f>AND(#REF!,"AAAAAHP2n6g=")</f>
        <v>#REF!</v>
      </c>
      <c r="FN7" s="25" t="e">
        <f>AND(#REF!,"AAAAAHP2n6k=")</f>
        <v>#REF!</v>
      </c>
      <c r="FO7" s="25" t="e">
        <f>AND(#REF!,"AAAAAHP2n6o=")</f>
        <v>#REF!</v>
      </c>
      <c r="FP7" s="25" t="e">
        <f>AND(#REF!,"AAAAAHP2n6s=")</f>
        <v>#REF!</v>
      </c>
      <c r="FQ7" s="25" t="e">
        <f>AND(#REF!,"AAAAAHP2n6w=")</f>
        <v>#REF!</v>
      </c>
      <c r="FR7" s="25" t="e">
        <f>AND(#REF!,"AAAAAHP2n60=")</f>
        <v>#REF!</v>
      </c>
      <c r="FS7" s="25" t="e">
        <f>AND(#REF!,"AAAAAHP2n64=")</f>
        <v>#REF!</v>
      </c>
      <c r="FT7" s="25" t="e">
        <f>AND(#REF!,"AAAAAHP2n68=")</f>
        <v>#REF!</v>
      </c>
      <c r="FU7" s="25" t="e">
        <f>AND(#REF!,"AAAAAHP2n7A=")</f>
        <v>#REF!</v>
      </c>
      <c r="FV7" s="25" t="e">
        <f>AND(#REF!,"AAAAAHP2n7E=")</f>
        <v>#REF!</v>
      </c>
      <c r="FW7" s="25" t="e">
        <f>AND(#REF!,"AAAAAHP2n7I=")</f>
        <v>#REF!</v>
      </c>
      <c r="FX7" s="25" t="e">
        <f>AND(#REF!,"AAAAAHP2n7M=")</f>
        <v>#REF!</v>
      </c>
      <c r="FY7" s="25" t="e">
        <f>IF(#REF!,"AAAAAHP2n7Q=",0)</f>
        <v>#REF!</v>
      </c>
      <c r="FZ7" s="25" t="e">
        <f>AND(#REF!,"AAAAAHP2n7U=")</f>
        <v>#REF!</v>
      </c>
      <c r="GA7" s="25" t="e">
        <f>AND(#REF!,"AAAAAHP2n7Y=")</f>
        <v>#REF!</v>
      </c>
      <c r="GB7" s="25" t="e">
        <f>AND(#REF!,"AAAAAHP2n7c=")</f>
        <v>#REF!</v>
      </c>
      <c r="GC7" s="25" t="e">
        <f>AND(#REF!,"AAAAAHP2n7g=")</f>
        <v>#REF!</v>
      </c>
      <c r="GD7" s="25" t="e">
        <f>AND(#REF!,"AAAAAHP2n7k=")</f>
        <v>#REF!</v>
      </c>
      <c r="GE7" s="25" t="e">
        <f>AND(#REF!,"AAAAAHP2n7o=")</f>
        <v>#REF!</v>
      </c>
      <c r="GF7" s="25" t="e">
        <f>AND(#REF!,"AAAAAHP2n7s=")</f>
        <v>#REF!</v>
      </c>
      <c r="GG7" s="25" t="e">
        <f>AND(#REF!,"AAAAAHP2n7w=")</f>
        <v>#REF!</v>
      </c>
      <c r="GH7" s="25" t="e">
        <f>AND(#REF!,"AAAAAHP2n70=")</f>
        <v>#REF!</v>
      </c>
      <c r="GI7" s="25" t="e">
        <f>AND(#REF!,"AAAAAHP2n74=")</f>
        <v>#REF!</v>
      </c>
      <c r="GJ7" s="25" t="e">
        <f>AND(#REF!,"AAAAAHP2n78=")</f>
        <v>#REF!</v>
      </c>
      <c r="GK7" s="25" t="e">
        <f>AND(#REF!,"AAAAAHP2n8A=")</f>
        <v>#REF!</v>
      </c>
      <c r="GL7" s="25" t="e">
        <f>AND(#REF!,"AAAAAHP2n8E=")</f>
        <v>#REF!</v>
      </c>
      <c r="GM7" s="25" t="e">
        <f>AND(#REF!,"AAAAAHP2n8I=")</f>
        <v>#REF!</v>
      </c>
      <c r="GN7" s="25" t="e">
        <f>AND(#REF!,"AAAAAHP2n8M=")</f>
        <v>#REF!</v>
      </c>
      <c r="GO7" s="25" t="e">
        <f>AND(#REF!,"AAAAAHP2n8Q=")</f>
        <v>#REF!</v>
      </c>
      <c r="GP7" s="25" t="e">
        <f>AND(#REF!,"AAAAAHP2n8U=")</f>
        <v>#REF!</v>
      </c>
      <c r="GQ7" s="25" t="e">
        <f>AND(#REF!,"AAAAAHP2n8Y=")</f>
        <v>#REF!</v>
      </c>
      <c r="GR7" s="25" t="e">
        <f>AND(#REF!,"AAAAAHP2n8c=")</f>
        <v>#REF!</v>
      </c>
      <c r="GS7" s="25" t="e">
        <f>AND(#REF!,"AAAAAHP2n8g=")</f>
        <v>#REF!</v>
      </c>
      <c r="GT7" s="25" t="e">
        <f>AND(#REF!,"AAAAAHP2n8k=")</f>
        <v>#REF!</v>
      </c>
      <c r="GU7" s="25" t="e">
        <f>IF(#REF!,"AAAAAHP2n8o=",0)</f>
        <v>#REF!</v>
      </c>
      <c r="GV7" s="25" t="e">
        <f>AND(#REF!,"AAAAAHP2n8s=")</f>
        <v>#REF!</v>
      </c>
      <c r="GW7" s="25" t="e">
        <f>AND(#REF!,"AAAAAHP2n8w=")</f>
        <v>#REF!</v>
      </c>
      <c r="GX7" s="25" t="e">
        <f>AND(#REF!,"AAAAAHP2n80=")</f>
        <v>#REF!</v>
      </c>
      <c r="GY7" s="25" t="e">
        <f>AND(#REF!,"AAAAAHP2n84=")</f>
        <v>#REF!</v>
      </c>
      <c r="GZ7" s="25" t="e">
        <f>AND(#REF!,"AAAAAHP2n88=")</f>
        <v>#REF!</v>
      </c>
      <c r="HA7" s="25" t="e">
        <f>AND(#REF!,"AAAAAHP2n9A=")</f>
        <v>#REF!</v>
      </c>
      <c r="HB7" s="25" t="e">
        <f>AND(#REF!,"AAAAAHP2n9E=")</f>
        <v>#REF!</v>
      </c>
      <c r="HC7" s="25" t="e">
        <f>AND(#REF!,"AAAAAHP2n9I=")</f>
        <v>#REF!</v>
      </c>
      <c r="HD7" s="25" t="e">
        <f>AND(#REF!,"AAAAAHP2n9M=")</f>
        <v>#REF!</v>
      </c>
      <c r="HE7" s="25" t="e">
        <f>AND(#REF!,"AAAAAHP2n9Q=")</f>
        <v>#REF!</v>
      </c>
      <c r="HF7" s="25" t="e">
        <f>AND(#REF!,"AAAAAHP2n9U=")</f>
        <v>#REF!</v>
      </c>
      <c r="HG7" s="25" t="e">
        <f>AND(#REF!,"AAAAAHP2n9Y=")</f>
        <v>#REF!</v>
      </c>
      <c r="HH7" s="25" t="e">
        <f>AND(#REF!,"AAAAAHP2n9c=")</f>
        <v>#REF!</v>
      </c>
      <c r="HI7" s="25" t="e">
        <f>AND(#REF!,"AAAAAHP2n9g=")</f>
        <v>#REF!</v>
      </c>
      <c r="HJ7" s="25" t="e">
        <f>AND(#REF!,"AAAAAHP2n9k=")</f>
        <v>#REF!</v>
      </c>
      <c r="HK7" s="25" t="e">
        <f>AND(#REF!,"AAAAAHP2n9o=")</f>
        <v>#REF!</v>
      </c>
      <c r="HL7" s="25" t="e">
        <f>AND(#REF!,"AAAAAHP2n9s=")</f>
        <v>#REF!</v>
      </c>
      <c r="HM7" s="25" t="e">
        <f>AND(#REF!,"AAAAAHP2n9w=")</f>
        <v>#REF!</v>
      </c>
      <c r="HN7" s="25" t="e">
        <f>AND(#REF!,"AAAAAHP2n90=")</f>
        <v>#REF!</v>
      </c>
      <c r="HO7" s="25" t="e">
        <f>AND(#REF!,"AAAAAHP2n94=")</f>
        <v>#REF!</v>
      </c>
      <c r="HP7" s="25" t="e">
        <f>AND(#REF!,"AAAAAHP2n98=")</f>
        <v>#REF!</v>
      </c>
      <c r="HQ7" s="25" t="e">
        <f>IF(#REF!,"AAAAAHP2n+A=",0)</f>
        <v>#REF!</v>
      </c>
      <c r="HR7" s="25" t="e">
        <f>AND(#REF!,"AAAAAHP2n+E=")</f>
        <v>#REF!</v>
      </c>
      <c r="HS7" s="25" t="e">
        <f>AND(#REF!,"AAAAAHP2n+I=")</f>
        <v>#REF!</v>
      </c>
      <c r="HT7" s="25" t="e">
        <f>AND(#REF!,"AAAAAHP2n+M=")</f>
        <v>#REF!</v>
      </c>
      <c r="HU7" s="25" t="e">
        <f>AND(#REF!,"AAAAAHP2n+Q=")</f>
        <v>#REF!</v>
      </c>
      <c r="HV7" s="25" t="e">
        <f>AND(#REF!,"AAAAAHP2n+U=")</f>
        <v>#REF!</v>
      </c>
      <c r="HW7" s="25" t="e">
        <f>AND(#REF!,"AAAAAHP2n+Y=")</f>
        <v>#REF!</v>
      </c>
      <c r="HX7" s="25" t="e">
        <f>AND(#REF!,"AAAAAHP2n+c=")</f>
        <v>#REF!</v>
      </c>
      <c r="HY7" s="25" t="e">
        <f>AND(#REF!,"AAAAAHP2n+g=")</f>
        <v>#REF!</v>
      </c>
      <c r="HZ7" s="25" t="e">
        <f>AND(#REF!,"AAAAAHP2n+k=")</f>
        <v>#REF!</v>
      </c>
      <c r="IA7" s="25" t="e">
        <f>AND(#REF!,"AAAAAHP2n+o=")</f>
        <v>#REF!</v>
      </c>
      <c r="IB7" s="25" t="e">
        <f>AND(#REF!,"AAAAAHP2n+s=")</f>
        <v>#REF!</v>
      </c>
      <c r="IC7" s="25" t="e">
        <f>AND(#REF!,"AAAAAHP2n+w=")</f>
        <v>#REF!</v>
      </c>
      <c r="ID7" s="25" t="e">
        <f>AND(#REF!,"AAAAAHP2n+0=")</f>
        <v>#REF!</v>
      </c>
      <c r="IE7" s="25" t="e">
        <f>AND(#REF!,"AAAAAHP2n+4=")</f>
        <v>#REF!</v>
      </c>
      <c r="IF7" s="25" t="e">
        <f>AND(#REF!,"AAAAAHP2n+8=")</f>
        <v>#REF!</v>
      </c>
      <c r="IG7" s="25" t="e">
        <f>AND(#REF!,"AAAAAHP2n/A=")</f>
        <v>#REF!</v>
      </c>
      <c r="IH7" s="25" t="e">
        <f>AND(#REF!,"AAAAAHP2n/E=")</f>
        <v>#REF!</v>
      </c>
      <c r="II7" s="25" t="e">
        <f>AND(#REF!,"AAAAAHP2n/I=")</f>
        <v>#REF!</v>
      </c>
      <c r="IJ7" s="25" t="e">
        <f>AND(#REF!,"AAAAAHP2n/M=")</f>
        <v>#REF!</v>
      </c>
      <c r="IK7" s="25" t="e">
        <f>AND(#REF!,"AAAAAHP2n/Q=")</f>
        <v>#REF!</v>
      </c>
      <c r="IL7" s="25" t="e">
        <f>AND(#REF!,"AAAAAHP2n/U=")</f>
        <v>#REF!</v>
      </c>
      <c r="IM7" s="25" t="e">
        <f>IF(#REF!,"AAAAAHP2n/Y=",0)</f>
        <v>#REF!</v>
      </c>
      <c r="IN7" s="25" t="e">
        <f>AND(#REF!,"AAAAAHP2n/c=")</f>
        <v>#REF!</v>
      </c>
      <c r="IO7" s="25" t="e">
        <f>AND(#REF!,"AAAAAHP2n/g=")</f>
        <v>#REF!</v>
      </c>
      <c r="IP7" s="25" t="e">
        <f>AND(#REF!,"AAAAAHP2n/k=")</f>
        <v>#REF!</v>
      </c>
      <c r="IQ7" s="25" t="e">
        <f>AND(#REF!,"AAAAAHP2n/o=")</f>
        <v>#REF!</v>
      </c>
      <c r="IR7" s="25" t="e">
        <f>AND(#REF!,"AAAAAHP2n/s=")</f>
        <v>#REF!</v>
      </c>
      <c r="IS7" s="25" t="e">
        <f>AND(#REF!,"AAAAAHP2n/w=")</f>
        <v>#REF!</v>
      </c>
      <c r="IT7" s="25" t="e">
        <f>AND(#REF!,"AAAAAHP2n/0=")</f>
        <v>#REF!</v>
      </c>
      <c r="IU7" s="25" t="e">
        <f>AND(#REF!,"AAAAAHP2n/4=")</f>
        <v>#REF!</v>
      </c>
      <c r="IV7" s="25" t="e">
        <f>AND(#REF!,"AAAAAHP2n/8=")</f>
        <v>#REF!</v>
      </c>
    </row>
    <row r="8" spans="1:256" ht="12.75" customHeight="1" x14ac:dyDescent="0.2">
      <c r="A8" s="25" t="e">
        <f>AND(#REF!,"AAAAADvy2wA=")</f>
        <v>#REF!</v>
      </c>
      <c r="B8" s="25" t="e">
        <f>AND(#REF!,"AAAAADvy2wE=")</f>
        <v>#REF!</v>
      </c>
      <c r="C8" s="25" t="e">
        <f>AND(#REF!,"AAAAADvy2wI=")</f>
        <v>#REF!</v>
      </c>
      <c r="D8" s="25" t="e">
        <f>AND(#REF!,"AAAAADvy2wM=")</f>
        <v>#REF!</v>
      </c>
      <c r="E8" s="25" t="e">
        <f>AND(#REF!,"AAAAADvy2wQ=")</f>
        <v>#REF!</v>
      </c>
      <c r="F8" s="25" t="e">
        <f>AND(#REF!,"AAAAADvy2wU=")</f>
        <v>#REF!</v>
      </c>
      <c r="G8" s="25" t="e">
        <f>AND(#REF!,"AAAAADvy2wY=")</f>
        <v>#REF!</v>
      </c>
      <c r="H8" s="25" t="e">
        <f>AND(#REF!,"AAAAADvy2wc=")</f>
        <v>#REF!</v>
      </c>
      <c r="I8" s="25" t="e">
        <f>AND(#REF!,"AAAAADvy2wg=")</f>
        <v>#REF!</v>
      </c>
      <c r="J8" s="25" t="e">
        <f>AND(#REF!,"AAAAADvy2wk=")</f>
        <v>#REF!</v>
      </c>
      <c r="K8" s="25" t="e">
        <f>AND(#REF!,"AAAAADvy2wo=")</f>
        <v>#REF!</v>
      </c>
      <c r="L8" s="25" t="e">
        <f>AND(#REF!,"AAAAADvy2ws=")</f>
        <v>#REF!</v>
      </c>
      <c r="M8" s="25" t="e">
        <f>IF(#REF!,"AAAAADvy2ww=",0)</f>
        <v>#REF!</v>
      </c>
      <c r="N8" s="25" t="e">
        <f>AND(#REF!,"AAAAADvy2w0=")</f>
        <v>#REF!</v>
      </c>
      <c r="O8" s="25" t="e">
        <f>AND(#REF!,"AAAAADvy2w4=")</f>
        <v>#REF!</v>
      </c>
      <c r="P8" s="25" t="e">
        <f>AND(#REF!,"AAAAADvy2w8=")</f>
        <v>#REF!</v>
      </c>
      <c r="Q8" s="25" t="e">
        <f>AND(#REF!,"AAAAADvy2xA=")</f>
        <v>#REF!</v>
      </c>
      <c r="R8" s="25" t="e">
        <f>AND(#REF!,"AAAAADvy2xE=")</f>
        <v>#REF!</v>
      </c>
      <c r="S8" s="25" t="e">
        <f>AND(#REF!,"AAAAADvy2xI=")</f>
        <v>#REF!</v>
      </c>
      <c r="T8" s="25" t="e">
        <f>AND(#REF!,"AAAAADvy2xM=")</f>
        <v>#REF!</v>
      </c>
      <c r="U8" s="25" t="e">
        <f>AND(#REF!,"AAAAADvy2xQ=")</f>
        <v>#REF!</v>
      </c>
      <c r="V8" s="25" t="e">
        <f>AND(#REF!,"AAAAADvy2xU=")</f>
        <v>#REF!</v>
      </c>
      <c r="W8" s="25" t="e">
        <f>AND(#REF!,"AAAAADvy2xY=")</f>
        <v>#REF!</v>
      </c>
      <c r="X8" s="25" t="e">
        <f>AND(#REF!,"AAAAADvy2xc=")</f>
        <v>#REF!</v>
      </c>
      <c r="Y8" s="25" t="e">
        <f>AND(#REF!,"AAAAADvy2xg=")</f>
        <v>#REF!</v>
      </c>
      <c r="Z8" s="25" t="e">
        <f>AND(#REF!,"AAAAADvy2xk=")</f>
        <v>#REF!</v>
      </c>
      <c r="AA8" s="25" t="e">
        <f>AND(#REF!,"AAAAADvy2xo=")</f>
        <v>#REF!</v>
      </c>
      <c r="AB8" s="25" t="e">
        <f>AND(#REF!,"AAAAADvy2xs=")</f>
        <v>#REF!</v>
      </c>
      <c r="AC8" s="25" t="e">
        <f>AND(#REF!,"AAAAADvy2xw=")</f>
        <v>#REF!</v>
      </c>
      <c r="AD8" s="25" t="e">
        <f>AND(#REF!,"AAAAADvy2x0=")</f>
        <v>#REF!</v>
      </c>
      <c r="AE8" s="25" t="e">
        <f>AND(#REF!,"AAAAADvy2x4=")</f>
        <v>#REF!</v>
      </c>
      <c r="AF8" s="25" t="e">
        <f>AND(#REF!,"AAAAADvy2x8=")</f>
        <v>#REF!</v>
      </c>
      <c r="AG8" s="25" t="e">
        <f>AND(#REF!,"AAAAADvy2yA=")</f>
        <v>#REF!</v>
      </c>
      <c r="AH8" s="25" t="e">
        <f>AND(#REF!,"AAAAADvy2yE=")</f>
        <v>#REF!</v>
      </c>
      <c r="AI8" s="25" t="e">
        <f>IF(#REF!,"AAAAADvy2yI=",0)</f>
        <v>#REF!</v>
      </c>
      <c r="AJ8" s="25" t="e">
        <f>AND(#REF!,"AAAAADvy2yM=")</f>
        <v>#REF!</v>
      </c>
      <c r="AK8" s="25" t="e">
        <f>AND(#REF!,"AAAAADvy2yQ=")</f>
        <v>#REF!</v>
      </c>
      <c r="AL8" s="25" t="e">
        <f>AND(#REF!,"AAAAADvy2yU=")</f>
        <v>#REF!</v>
      </c>
      <c r="AM8" s="25" t="e">
        <f>AND(#REF!,"AAAAADvy2yY=")</f>
        <v>#REF!</v>
      </c>
      <c r="AN8" s="25" t="e">
        <f>AND(#REF!,"AAAAADvy2yc=")</f>
        <v>#REF!</v>
      </c>
      <c r="AO8" s="25" t="e">
        <f>AND(#REF!,"AAAAADvy2yg=")</f>
        <v>#REF!</v>
      </c>
      <c r="AP8" s="25" t="e">
        <f>AND(#REF!,"AAAAADvy2yk=")</f>
        <v>#REF!</v>
      </c>
      <c r="AQ8" s="25" t="e">
        <f>AND(#REF!,"AAAAADvy2yo=")</f>
        <v>#REF!</v>
      </c>
      <c r="AR8" s="25" t="e">
        <f>AND(#REF!,"AAAAADvy2ys=")</f>
        <v>#REF!</v>
      </c>
      <c r="AS8" s="25" t="e">
        <f>AND(#REF!,"AAAAADvy2yw=")</f>
        <v>#REF!</v>
      </c>
      <c r="AT8" s="25" t="e">
        <f>AND(#REF!,"AAAAADvy2y0=")</f>
        <v>#REF!</v>
      </c>
      <c r="AU8" s="25" t="e">
        <f>AND(#REF!,"AAAAADvy2y4=")</f>
        <v>#REF!</v>
      </c>
      <c r="AV8" s="25" t="e">
        <f>AND(#REF!,"AAAAADvy2y8=")</f>
        <v>#REF!</v>
      </c>
      <c r="AW8" s="25" t="e">
        <f>AND(#REF!,"AAAAADvy2zA=")</f>
        <v>#REF!</v>
      </c>
      <c r="AX8" s="25" t="e">
        <f>AND(#REF!,"AAAAADvy2zE=")</f>
        <v>#REF!</v>
      </c>
      <c r="AY8" s="25" t="e">
        <f>AND(#REF!,"AAAAADvy2zI=")</f>
        <v>#REF!</v>
      </c>
      <c r="AZ8" s="25" t="e">
        <f>AND(#REF!,"AAAAADvy2zM=")</f>
        <v>#REF!</v>
      </c>
      <c r="BA8" s="25" t="e">
        <f>AND(#REF!,"AAAAADvy2zQ=")</f>
        <v>#REF!</v>
      </c>
      <c r="BB8" s="25" t="e">
        <f>AND(#REF!,"AAAAADvy2zU=")</f>
        <v>#REF!</v>
      </c>
      <c r="BC8" s="25" t="e">
        <f>AND(#REF!,"AAAAADvy2zY=")</f>
        <v>#REF!</v>
      </c>
      <c r="BD8" s="25" t="e">
        <f>AND(#REF!,"AAAAADvy2zc=")</f>
        <v>#REF!</v>
      </c>
      <c r="BE8" s="25" t="e">
        <f>IF(#REF!,"AAAAADvy2zg=",0)</f>
        <v>#REF!</v>
      </c>
      <c r="BF8" s="25" t="e">
        <f>AND(#REF!,"AAAAADvy2zk=")</f>
        <v>#REF!</v>
      </c>
      <c r="BG8" s="25" t="e">
        <f>AND(#REF!,"AAAAADvy2zo=")</f>
        <v>#REF!</v>
      </c>
      <c r="BH8" s="25" t="e">
        <f>AND(#REF!,"AAAAADvy2zs=")</f>
        <v>#REF!</v>
      </c>
      <c r="BI8" s="25" t="e">
        <f>AND(#REF!,"AAAAADvy2zw=")</f>
        <v>#REF!</v>
      </c>
      <c r="BJ8" s="25" t="e">
        <f>AND(#REF!,"AAAAADvy2z0=")</f>
        <v>#REF!</v>
      </c>
      <c r="BK8" s="25" t="e">
        <f>AND(#REF!,"AAAAADvy2z4=")</f>
        <v>#REF!</v>
      </c>
      <c r="BL8" s="25" t="e">
        <f>AND(#REF!,"AAAAADvy2z8=")</f>
        <v>#REF!</v>
      </c>
      <c r="BM8" s="25" t="e">
        <f>AND(#REF!,"AAAAADvy20A=")</f>
        <v>#REF!</v>
      </c>
      <c r="BN8" s="25" t="e">
        <f>AND(#REF!,"AAAAADvy20E=")</f>
        <v>#REF!</v>
      </c>
      <c r="BO8" s="25" t="e">
        <f>AND(#REF!,"AAAAADvy20I=")</f>
        <v>#REF!</v>
      </c>
      <c r="BP8" s="25" t="e">
        <f>AND(#REF!,"AAAAADvy20M=")</f>
        <v>#REF!</v>
      </c>
      <c r="BQ8" s="25" t="e">
        <f>AND(#REF!,"AAAAADvy20Q=")</f>
        <v>#REF!</v>
      </c>
      <c r="BR8" s="25" t="e">
        <f>AND(#REF!,"AAAAADvy20U=")</f>
        <v>#REF!</v>
      </c>
      <c r="BS8" s="25" t="e">
        <f>AND(#REF!,"AAAAADvy20Y=")</f>
        <v>#REF!</v>
      </c>
      <c r="BT8" s="25" t="e">
        <f>AND(#REF!,"AAAAADvy20c=")</f>
        <v>#REF!</v>
      </c>
      <c r="BU8" s="25" t="e">
        <f>AND(#REF!,"AAAAADvy20g=")</f>
        <v>#REF!</v>
      </c>
      <c r="BV8" s="25" t="e">
        <f>AND(#REF!,"AAAAADvy20k=")</f>
        <v>#REF!</v>
      </c>
      <c r="BW8" s="25" t="e">
        <f>AND(#REF!,"AAAAADvy20o=")</f>
        <v>#REF!</v>
      </c>
      <c r="BX8" s="25" t="e">
        <f>AND(#REF!,"AAAAADvy20s=")</f>
        <v>#REF!</v>
      </c>
      <c r="BY8" s="25" t="e">
        <f>AND(#REF!,"AAAAADvy20w=")</f>
        <v>#REF!</v>
      </c>
      <c r="BZ8" s="25" t="e">
        <f>AND(#REF!,"AAAAADvy200=")</f>
        <v>#REF!</v>
      </c>
      <c r="CA8" s="25" t="e">
        <f>IF(#REF!,"AAAAADvy204=",0)</f>
        <v>#REF!</v>
      </c>
      <c r="CB8" s="25" t="e">
        <f>AND(#REF!,"AAAAADvy208=")</f>
        <v>#REF!</v>
      </c>
      <c r="CC8" s="25" t="e">
        <f>AND(#REF!,"AAAAADvy21A=")</f>
        <v>#REF!</v>
      </c>
      <c r="CD8" s="25" t="e">
        <f>AND(#REF!,"AAAAADvy21E=")</f>
        <v>#REF!</v>
      </c>
      <c r="CE8" s="25" t="e">
        <f>AND(#REF!,"AAAAADvy21I=")</f>
        <v>#REF!</v>
      </c>
      <c r="CF8" s="25" t="e">
        <f>AND(#REF!,"AAAAADvy21M=")</f>
        <v>#REF!</v>
      </c>
      <c r="CG8" s="25" t="e">
        <f>AND(#REF!,"AAAAADvy21Q=")</f>
        <v>#REF!</v>
      </c>
      <c r="CH8" s="25" t="e">
        <f>AND(#REF!,"AAAAADvy21U=")</f>
        <v>#REF!</v>
      </c>
      <c r="CI8" s="25" t="e">
        <f>AND(#REF!,"AAAAADvy21Y=")</f>
        <v>#REF!</v>
      </c>
      <c r="CJ8" s="25" t="e">
        <f>AND(#REF!,"AAAAADvy21c=")</f>
        <v>#REF!</v>
      </c>
      <c r="CK8" s="25" t="e">
        <f>AND(#REF!,"AAAAADvy21g=")</f>
        <v>#REF!</v>
      </c>
      <c r="CL8" s="25" t="e">
        <f>AND(#REF!,"AAAAADvy21k=")</f>
        <v>#REF!</v>
      </c>
      <c r="CM8" s="25" t="e">
        <f>AND(#REF!,"AAAAADvy21o=")</f>
        <v>#REF!</v>
      </c>
      <c r="CN8" s="25" t="e">
        <f>AND(#REF!,"AAAAADvy21s=")</f>
        <v>#REF!</v>
      </c>
      <c r="CO8" s="25" t="e">
        <f>AND(#REF!,"AAAAADvy21w=")</f>
        <v>#REF!</v>
      </c>
      <c r="CP8" s="25" t="e">
        <f>AND(#REF!,"AAAAADvy210=")</f>
        <v>#REF!</v>
      </c>
      <c r="CQ8" s="25" t="e">
        <f>AND(#REF!,"AAAAADvy214=")</f>
        <v>#REF!</v>
      </c>
      <c r="CR8" s="25" t="e">
        <f>AND(#REF!,"AAAAADvy218=")</f>
        <v>#REF!</v>
      </c>
      <c r="CS8" s="25" t="e">
        <f>AND(#REF!,"AAAAADvy22A=")</f>
        <v>#REF!</v>
      </c>
      <c r="CT8" s="25" t="e">
        <f>AND(#REF!,"AAAAADvy22E=")</f>
        <v>#REF!</v>
      </c>
      <c r="CU8" s="25" t="e">
        <f>AND(#REF!,"AAAAADvy22I=")</f>
        <v>#REF!</v>
      </c>
      <c r="CV8" s="25" t="e">
        <f>AND(#REF!,"AAAAADvy22M=")</f>
        <v>#REF!</v>
      </c>
      <c r="CW8" s="25" t="e">
        <f>IF(#REF!,"AAAAADvy22Q=",0)</f>
        <v>#REF!</v>
      </c>
      <c r="CX8" s="25" t="e">
        <f>AND(#REF!,"AAAAADvy22U=")</f>
        <v>#REF!</v>
      </c>
      <c r="CY8" s="25" t="e">
        <f>AND(#REF!,"AAAAADvy22Y=")</f>
        <v>#REF!</v>
      </c>
      <c r="CZ8" s="25" t="e">
        <f>AND(#REF!,"AAAAADvy22c=")</f>
        <v>#REF!</v>
      </c>
      <c r="DA8" s="25" t="e">
        <f>AND(#REF!,"AAAAADvy22g=")</f>
        <v>#REF!</v>
      </c>
      <c r="DB8" s="25" t="e">
        <f>AND(#REF!,"AAAAADvy22k=")</f>
        <v>#REF!</v>
      </c>
      <c r="DC8" s="25" t="e">
        <f>AND(#REF!,"AAAAADvy22o=")</f>
        <v>#REF!</v>
      </c>
      <c r="DD8" s="25" t="e">
        <f>AND(#REF!,"AAAAADvy22s=")</f>
        <v>#REF!</v>
      </c>
      <c r="DE8" s="25" t="e">
        <f>AND(#REF!,"AAAAADvy22w=")</f>
        <v>#REF!</v>
      </c>
      <c r="DF8" s="25" t="e">
        <f>AND(#REF!,"AAAAADvy220=")</f>
        <v>#REF!</v>
      </c>
      <c r="DG8" s="25" t="e">
        <f>AND(#REF!,"AAAAADvy224=")</f>
        <v>#REF!</v>
      </c>
      <c r="DH8" s="25" t="e">
        <f>AND(#REF!,"AAAAADvy228=")</f>
        <v>#REF!</v>
      </c>
      <c r="DI8" s="25" t="e">
        <f>AND(#REF!,"AAAAADvy23A=")</f>
        <v>#REF!</v>
      </c>
      <c r="DJ8" s="25" t="e">
        <f>AND(#REF!,"AAAAADvy23E=")</f>
        <v>#REF!</v>
      </c>
      <c r="DK8" s="25" t="e">
        <f>AND(#REF!,"AAAAADvy23I=")</f>
        <v>#REF!</v>
      </c>
      <c r="DL8" s="25" t="e">
        <f>AND(#REF!,"AAAAADvy23M=")</f>
        <v>#REF!</v>
      </c>
      <c r="DM8" s="25" t="e">
        <f>AND(#REF!,"AAAAADvy23Q=")</f>
        <v>#REF!</v>
      </c>
      <c r="DN8" s="25" t="e">
        <f>AND(#REF!,"AAAAADvy23U=")</f>
        <v>#REF!</v>
      </c>
      <c r="DO8" s="25" t="e">
        <f>AND(#REF!,"AAAAADvy23Y=")</f>
        <v>#REF!</v>
      </c>
      <c r="DP8" s="25" t="e">
        <f>AND(#REF!,"AAAAADvy23c=")</f>
        <v>#REF!</v>
      </c>
      <c r="DQ8" s="25" t="e">
        <f>AND(#REF!,"AAAAADvy23g=")</f>
        <v>#REF!</v>
      </c>
      <c r="DR8" s="25" t="e">
        <f>AND(#REF!,"AAAAADvy23k=")</f>
        <v>#REF!</v>
      </c>
      <c r="DS8" s="25" t="e">
        <f>IF(#REF!,"AAAAADvy23o=",0)</f>
        <v>#REF!</v>
      </c>
      <c r="DT8" s="25" t="e">
        <f>AND(#REF!,"AAAAADvy23s=")</f>
        <v>#REF!</v>
      </c>
      <c r="DU8" s="25" t="e">
        <f>AND(#REF!,"AAAAADvy23w=")</f>
        <v>#REF!</v>
      </c>
      <c r="DV8" s="25" t="e">
        <f>AND(#REF!,"AAAAADvy230=")</f>
        <v>#REF!</v>
      </c>
      <c r="DW8" s="25" t="e">
        <f>AND(#REF!,"AAAAADvy234=")</f>
        <v>#REF!</v>
      </c>
      <c r="DX8" s="25" t="e">
        <f>AND(#REF!,"AAAAADvy238=")</f>
        <v>#REF!</v>
      </c>
      <c r="DY8" s="25" t="e">
        <f>AND(#REF!,"AAAAADvy24A=")</f>
        <v>#REF!</v>
      </c>
      <c r="DZ8" s="25" t="e">
        <f>AND(#REF!,"AAAAADvy24E=")</f>
        <v>#REF!</v>
      </c>
      <c r="EA8" s="25" t="e">
        <f>AND(#REF!,"AAAAADvy24I=")</f>
        <v>#REF!</v>
      </c>
      <c r="EB8" s="25" t="e">
        <f>AND(#REF!,"AAAAADvy24M=")</f>
        <v>#REF!</v>
      </c>
      <c r="EC8" s="25" t="e">
        <f>AND(#REF!,"AAAAADvy24Q=")</f>
        <v>#REF!</v>
      </c>
      <c r="ED8" s="25" t="e">
        <f>AND(#REF!,"AAAAADvy24U=")</f>
        <v>#REF!</v>
      </c>
      <c r="EE8" s="25" t="e">
        <f>AND(#REF!,"AAAAADvy24Y=")</f>
        <v>#REF!</v>
      </c>
      <c r="EF8" s="25" t="e">
        <f>AND(#REF!,"AAAAADvy24c=")</f>
        <v>#REF!</v>
      </c>
      <c r="EG8" s="25" t="e">
        <f>AND(#REF!,"AAAAADvy24g=")</f>
        <v>#REF!</v>
      </c>
      <c r="EH8" s="25" t="e">
        <f>AND(#REF!,"AAAAADvy24k=")</f>
        <v>#REF!</v>
      </c>
      <c r="EI8" s="25" t="e">
        <f>AND(#REF!,"AAAAADvy24o=")</f>
        <v>#REF!</v>
      </c>
      <c r="EJ8" s="25" t="e">
        <f>AND(#REF!,"AAAAADvy24s=")</f>
        <v>#REF!</v>
      </c>
      <c r="EK8" s="25" t="e">
        <f>AND(#REF!,"AAAAADvy24w=")</f>
        <v>#REF!</v>
      </c>
      <c r="EL8" s="25" t="e">
        <f>AND(#REF!,"AAAAADvy240=")</f>
        <v>#REF!</v>
      </c>
      <c r="EM8" s="25" t="e">
        <f>AND(#REF!,"AAAAADvy244=")</f>
        <v>#REF!</v>
      </c>
      <c r="EN8" s="25" t="e">
        <f>AND(#REF!,"AAAAADvy248=")</f>
        <v>#REF!</v>
      </c>
      <c r="EO8" s="25" t="e">
        <f>IF(#REF!,"AAAAADvy25A=",0)</f>
        <v>#REF!</v>
      </c>
      <c r="EP8" s="25" t="e">
        <f>AND(#REF!,"AAAAADvy25E=")</f>
        <v>#REF!</v>
      </c>
      <c r="EQ8" s="25" t="e">
        <f>AND(#REF!,"AAAAADvy25I=")</f>
        <v>#REF!</v>
      </c>
      <c r="ER8" s="25" t="e">
        <f>AND(#REF!,"AAAAADvy25M=")</f>
        <v>#REF!</v>
      </c>
      <c r="ES8" s="25" t="e">
        <f>AND(#REF!,"AAAAADvy25Q=")</f>
        <v>#REF!</v>
      </c>
      <c r="ET8" s="25" t="e">
        <f>AND(#REF!,"AAAAADvy25U=")</f>
        <v>#REF!</v>
      </c>
      <c r="EU8" s="25" t="e">
        <f>AND(#REF!,"AAAAADvy25Y=")</f>
        <v>#REF!</v>
      </c>
      <c r="EV8" s="25" t="e">
        <f>AND(#REF!,"AAAAADvy25c=")</f>
        <v>#REF!</v>
      </c>
      <c r="EW8" s="25" t="e">
        <f>AND(#REF!,"AAAAADvy25g=")</f>
        <v>#REF!</v>
      </c>
      <c r="EX8" s="25" t="e">
        <f>AND(#REF!,"AAAAADvy25k=")</f>
        <v>#REF!</v>
      </c>
      <c r="EY8" s="25" t="e">
        <f>AND(#REF!,"AAAAADvy25o=")</f>
        <v>#REF!</v>
      </c>
      <c r="EZ8" s="25" t="e">
        <f>AND(#REF!,"AAAAADvy25s=")</f>
        <v>#REF!</v>
      </c>
      <c r="FA8" s="25" t="e">
        <f>AND(#REF!,"AAAAADvy25w=")</f>
        <v>#REF!</v>
      </c>
      <c r="FB8" s="25" t="e">
        <f>AND(#REF!,"AAAAADvy250=")</f>
        <v>#REF!</v>
      </c>
      <c r="FC8" s="25" t="e">
        <f>AND(#REF!,"AAAAADvy254=")</f>
        <v>#REF!</v>
      </c>
      <c r="FD8" s="25" t="e">
        <f>AND(#REF!,"AAAAADvy258=")</f>
        <v>#REF!</v>
      </c>
      <c r="FE8" s="25" t="e">
        <f>AND(#REF!,"AAAAADvy26A=")</f>
        <v>#REF!</v>
      </c>
      <c r="FF8" s="25" t="e">
        <f>AND(#REF!,"AAAAADvy26E=")</f>
        <v>#REF!</v>
      </c>
      <c r="FG8" s="25" t="e">
        <f>AND(#REF!,"AAAAADvy26I=")</f>
        <v>#REF!</v>
      </c>
      <c r="FH8" s="25" t="e">
        <f>AND(#REF!,"AAAAADvy26M=")</f>
        <v>#REF!</v>
      </c>
      <c r="FI8" s="25" t="e">
        <f>AND(#REF!,"AAAAADvy26Q=")</f>
        <v>#REF!</v>
      </c>
      <c r="FJ8" s="25" t="e">
        <f>AND(#REF!,"AAAAADvy26U=")</f>
        <v>#REF!</v>
      </c>
      <c r="FK8" s="25" t="e">
        <f>IF(#REF!,"AAAAADvy26Y=",0)</f>
        <v>#REF!</v>
      </c>
      <c r="FL8" s="25" t="e">
        <f>AND(#REF!,"AAAAADvy26c=")</f>
        <v>#REF!</v>
      </c>
      <c r="FM8" s="25" t="e">
        <f>AND(#REF!,"AAAAADvy26g=")</f>
        <v>#REF!</v>
      </c>
      <c r="FN8" s="25" t="e">
        <f>AND(#REF!,"AAAAADvy26k=")</f>
        <v>#REF!</v>
      </c>
      <c r="FO8" s="25" t="e">
        <f>AND(#REF!,"AAAAADvy26o=")</f>
        <v>#REF!</v>
      </c>
      <c r="FP8" s="25" t="e">
        <f>AND(#REF!,"AAAAADvy26s=")</f>
        <v>#REF!</v>
      </c>
      <c r="FQ8" s="25" t="e">
        <f>AND(#REF!,"AAAAADvy26w=")</f>
        <v>#REF!</v>
      </c>
      <c r="FR8" s="25" t="e">
        <f>AND(#REF!,"AAAAADvy260=")</f>
        <v>#REF!</v>
      </c>
      <c r="FS8" s="25" t="e">
        <f>AND(#REF!,"AAAAADvy264=")</f>
        <v>#REF!</v>
      </c>
      <c r="FT8" s="25" t="e">
        <f>AND(#REF!,"AAAAADvy268=")</f>
        <v>#REF!</v>
      </c>
      <c r="FU8" s="25" t="e">
        <f>AND(#REF!,"AAAAADvy27A=")</f>
        <v>#REF!</v>
      </c>
      <c r="FV8" s="25" t="e">
        <f>AND(#REF!,"AAAAADvy27E=")</f>
        <v>#REF!</v>
      </c>
      <c r="FW8" s="25" t="e">
        <f>AND(#REF!,"AAAAADvy27I=")</f>
        <v>#REF!</v>
      </c>
      <c r="FX8" s="25" t="e">
        <f>AND(#REF!,"AAAAADvy27M=")</f>
        <v>#REF!</v>
      </c>
      <c r="FY8" s="25" t="e">
        <f>AND(#REF!,"AAAAADvy27Q=")</f>
        <v>#REF!</v>
      </c>
      <c r="FZ8" s="25" t="e">
        <f>AND(#REF!,"AAAAADvy27U=")</f>
        <v>#REF!</v>
      </c>
      <c r="GA8" s="25" t="e">
        <f>AND(#REF!,"AAAAADvy27Y=")</f>
        <v>#REF!</v>
      </c>
      <c r="GB8" s="25" t="e">
        <f>AND(#REF!,"AAAAADvy27c=")</f>
        <v>#REF!</v>
      </c>
      <c r="GC8" s="25" t="e">
        <f>AND(#REF!,"AAAAADvy27g=")</f>
        <v>#REF!</v>
      </c>
      <c r="GD8" s="25" t="e">
        <f>AND(#REF!,"AAAAADvy27k=")</f>
        <v>#REF!</v>
      </c>
      <c r="GE8" s="25" t="e">
        <f>AND(#REF!,"AAAAADvy27o=")</f>
        <v>#REF!</v>
      </c>
      <c r="GF8" s="25" t="e">
        <f>AND(#REF!,"AAAAADvy27s=")</f>
        <v>#REF!</v>
      </c>
      <c r="GG8" s="25" t="e">
        <f>IF(#REF!,"AAAAADvy27w=",0)</f>
        <v>#REF!</v>
      </c>
      <c r="GH8" s="25" t="e">
        <f>AND(#REF!,"AAAAADvy270=")</f>
        <v>#REF!</v>
      </c>
      <c r="GI8" s="25" t="e">
        <f>AND(#REF!,"AAAAADvy274=")</f>
        <v>#REF!</v>
      </c>
      <c r="GJ8" s="25" t="e">
        <f>AND(#REF!,"AAAAADvy278=")</f>
        <v>#REF!</v>
      </c>
      <c r="GK8" s="25" t="e">
        <f>AND(#REF!,"AAAAADvy28A=")</f>
        <v>#REF!</v>
      </c>
      <c r="GL8" s="25" t="e">
        <f>AND(#REF!,"AAAAADvy28E=")</f>
        <v>#REF!</v>
      </c>
      <c r="GM8" s="25" t="e">
        <f>AND(#REF!,"AAAAADvy28I=")</f>
        <v>#REF!</v>
      </c>
      <c r="GN8" s="25" t="e">
        <f>AND(#REF!,"AAAAADvy28M=")</f>
        <v>#REF!</v>
      </c>
      <c r="GO8" s="25" t="e">
        <f>AND(#REF!,"AAAAADvy28Q=")</f>
        <v>#REF!</v>
      </c>
      <c r="GP8" s="25" t="e">
        <f>AND(#REF!,"AAAAADvy28U=")</f>
        <v>#REF!</v>
      </c>
      <c r="GQ8" s="25" t="e">
        <f>AND(#REF!,"AAAAADvy28Y=")</f>
        <v>#REF!</v>
      </c>
      <c r="GR8" s="25" t="e">
        <f>AND(#REF!,"AAAAADvy28c=")</f>
        <v>#REF!</v>
      </c>
      <c r="GS8" s="25" t="e">
        <f>AND(#REF!,"AAAAADvy28g=")</f>
        <v>#REF!</v>
      </c>
      <c r="GT8" s="25" t="e">
        <f>AND(#REF!,"AAAAADvy28k=")</f>
        <v>#REF!</v>
      </c>
      <c r="GU8" s="25" t="e">
        <f>AND(#REF!,"AAAAADvy28o=")</f>
        <v>#REF!</v>
      </c>
      <c r="GV8" s="25" t="e">
        <f>AND(#REF!,"AAAAADvy28s=")</f>
        <v>#REF!</v>
      </c>
      <c r="GW8" s="25" t="e">
        <f>AND(#REF!,"AAAAADvy28w=")</f>
        <v>#REF!</v>
      </c>
      <c r="GX8" s="25" t="e">
        <f>AND(#REF!,"AAAAADvy280=")</f>
        <v>#REF!</v>
      </c>
      <c r="GY8" s="25" t="e">
        <f>AND(#REF!,"AAAAADvy284=")</f>
        <v>#REF!</v>
      </c>
      <c r="GZ8" s="25" t="e">
        <f>AND(#REF!,"AAAAADvy288=")</f>
        <v>#REF!</v>
      </c>
      <c r="HA8" s="25" t="e">
        <f>AND(#REF!,"AAAAADvy29A=")</f>
        <v>#REF!</v>
      </c>
      <c r="HB8" s="25" t="e">
        <f>AND(#REF!,"AAAAADvy29E=")</f>
        <v>#REF!</v>
      </c>
      <c r="HC8" s="25" t="e">
        <f>IF(#REF!,"AAAAADvy29I=",0)</f>
        <v>#REF!</v>
      </c>
      <c r="HD8" s="25" t="e">
        <f>AND(#REF!,"AAAAADvy29M=")</f>
        <v>#REF!</v>
      </c>
      <c r="HE8" s="25" t="e">
        <f>AND(#REF!,"AAAAADvy29Q=")</f>
        <v>#REF!</v>
      </c>
      <c r="HF8" s="25" t="e">
        <f>AND(#REF!,"AAAAADvy29U=")</f>
        <v>#REF!</v>
      </c>
      <c r="HG8" s="25" t="e">
        <f>AND(#REF!,"AAAAADvy29Y=")</f>
        <v>#REF!</v>
      </c>
      <c r="HH8" s="25" t="e">
        <f>AND(#REF!,"AAAAADvy29c=")</f>
        <v>#REF!</v>
      </c>
      <c r="HI8" s="25" t="e">
        <f>AND(#REF!,"AAAAADvy29g=")</f>
        <v>#REF!</v>
      </c>
      <c r="HJ8" s="25" t="e">
        <f>AND(#REF!,"AAAAADvy29k=")</f>
        <v>#REF!</v>
      </c>
      <c r="HK8" s="25" t="e">
        <f>AND(#REF!,"AAAAADvy29o=")</f>
        <v>#REF!</v>
      </c>
      <c r="HL8" s="25" t="e">
        <f>AND(#REF!,"AAAAADvy29s=")</f>
        <v>#REF!</v>
      </c>
      <c r="HM8" s="25" t="e">
        <f>AND(#REF!,"AAAAADvy29w=")</f>
        <v>#REF!</v>
      </c>
      <c r="HN8" s="25" t="e">
        <f>AND(#REF!,"AAAAADvy290=")</f>
        <v>#REF!</v>
      </c>
      <c r="HO8" s="25" t="e">
        <f>AND(#REF!,"AAAAADvy294=")</f>
        <v>#REF!</v>
      </c>
      <c r="HP8" s="25" t="e">
        <f>AND(#REF!,"AAAAADvy298=")</f>
        <v>#REF!</v>
      </c>
      <c r="HQ8" s="25" t="e">
        <f>AND(#REF!,"AAAAADvy2+A=")</f>
        <v>#REF!</v>
      </c>
      <c r="HR8" s="25" t="e">
        <f>AND(#REF!,"AAAAADvy2+E=")</f>
        <v>#REF!</v>
      </c>
      <c r="HS8" s="25" t="e">
        <f>AND(#REF!,"AAAAADvy2+I=")</f>
        <v>#REF!</v>
      </c>
      <c r="HT8" s="25" t="e">
        <f>AND(#REF!,"AAAAADvy2+M=")</f>
        <v>#REF!</v>
      </c>
      <c r="HU8" s="25" t="e">
        <f>AND(#REF!,"AAAAADvy2+Q=")</f>
        <v>#REF!</v>
      </c>
      <c r="HV8" s="25" t="e">
        <f>AND(#REF!,"AAAAADvy2+U=")</f>
        <v>#REF!</v>
      </c>
      <c r="HW8" s="25" t="e">
        <f>AND(#REF!,"AAAAADvy2+Y=")</f>
        <v>#REF!</v>
      </c>
      <c r="HX8" s="25" t="e">
        <f>AND(#REF!,"AAAAADvy2+c=")</f>
        <v>#REF!</v>
      </c>
      <c r="HY8" s="25" t="e">
        <f>IF(#REF!,"AAAAADvy2+g=",0)</f>
        <v>#REF!</v>
      </c>
      <c r="HZ8" s="25" t="e">
        <f>AND(#REF!,"AAAAADvy2+k=")</f>
        <v>#REF!</v>
      </c>
      <c r="IA8" s="25" t="e">
        <f>AND(#REF!,"AAAAADvy2+o=")</f>
        <v>#REF!</v>
      </c>
      <c r="IB8" s="25" t="e">
        <f>AND(#REF!,"AAAAADvy2+s=")</f>
        <v>#REF!</v>
      </c>
      <c r="IC8" s="25" t="e">
        <f>AND(#REF!,"AAAAADvy2+w=")</f>
        <v>#REF!</v>
      </c>
      <c r="ID8" s="25" t="e">
        <f>AND(#REF!,"AAAAADvy2+0=")</f>
        <v>#REF!</v>
      </c>
      <c r="IE8" s="25" t="e">
        <f>AND(#REF!,"AAAAADvy2+4=")</f>
        <v>#REF!</v>
      </c>
      <c r="IF8" s="25" t="e">
        <f>AND(#REF!,"AAAAADvy2+8=")</f>
        <v>#REF!</v>
      </c>
      <c r="IG8" s="25" t="e">
        <f>AND(#REF!,"AAAAADvy2/A=")</f>
        <v>#REF!</v>
      </c>
      <c r="IH8" s="25" t="e">
        <f>AND(#REF!,"AAAAADvy2/E=")</f>
        <v>#REF!</v>
      </c>
      <c r="II8" s="25" t="e">
        <f>AND(#REF!,"AAAAADvy2/I=")</f>
        <v>#REF!</v>
      </c>
      <c r="IJ8" s="25" t="e">
        <f>AND(#REF!,"AAAAADvy2/M=")</f>
        <v>#REF!</v>
      </c>
      <c r="IK8" s="25" t="e">
        <f>AND(#REF!,"AAAAADvy2/Q=")</f>
        <v>#REF!</v>
      </c>
      <c r="IL8" s="25" t="e">
        <f>AND(#REF!,"AAAAADvy2/U=")</f>
        <v>#REF!</v>
      </c>
      <c r="IM8" s="25" t="e">
        <f>AND(#REF!,"AAAAADvy2/Y=")</f>
        <v>#REF!</v>
      </c>
      <c r="IN8" s="25" t="e">
        <f>AND(#REF!,"AAAAADvy2/c=")</f>
        <v>#REF!</v>
      </c>
      <c r="IO8" s="25" t="e">
        <f>AND(#REF!,"AAAAADvy2/g=")</f>
        <v>#REF!</v>
      </c>
      <c r="IP8" s="25" t="e">
        <f>AND(#REF!,"AAAAADvy2/k=")</f>
        <v>#REF!</v>
      </c>
      <c r="IQ8" s="25" t="e">
        <f>AND(#REF!,"AAAAADvy2/o=")</f>
        <v>#REF!</v>
      </c>
      <c r="IR8" s="25" t="e">
        <f>AND(#REF!,"AAAAADvy2/s=")</f>
        <v>#REF!</v>
      </c>
      <c r="IS8" s="25" t="e">
        <f>AND(#REF!,"AAAAADvy2/w=")</f>
        <v>#REF!</v>
      </c>
      <c r="IT8" s="25" t="e">
        <f>AND(#REF!,"AAAAADvy2/0=")</f>
        <v>#REF!</v>
      </c>
      <c r="IU8" s="25" t="e">
        <f>IF(#REF!,"AAAAADvy2/4=",0)</f>
        <v>#REF!</v>
      </c>
      <c r="IV8" s="25" t="e">
        <f>AND(#REF!,"AAAAADvy2/8=")</f>
        <v>#REF!</v>
      </c>
    </row>
    <row r="9" spans="1:256" ht="12.75" customHeight="1" x14ac:dyDescent="0.2">
      <c r="A9" s="25" t="e">
        <f>AND(#REF!,"AAAAAHpvdwA=")</f>
        <v>#REF!</v>
      </c>
      <c r="B9" s="25" t="e">
        <f>AND(#REF!,"AAAAAHpvdwE=")</f>
        <v>#REF!</v>
      </c>
      <c r="C9" s="25" t="e">
        <f>AND(#REF!,"AAAAAHpvdwI=")</f>
        <v>#REF!</v>
      </c>
      <c r="D9" s="25" t="e">
        <f>AND(#REF!,"AAAAAHpvdwM=")</f>
        <v>#REF!</v>
      </c>
      <c r="E9" s="25" t="e">
        <f>AND(#REF!,"AAAAAHpvdwQ=")</f>
        <v>#REF!</v>
      </c>
      <c r="F9" s="25" t="e">
        <f>AND(#REF!,"AAAAAHpvdwU=")</f>
        <v>#REF!</v>
      </c>
      <c r="G9" s="25" t="e">
        <f>AND(#REF!,"AAAAAHpvdwY=")</f>
        <v>#REF!</v>
      </c>
      <c r="H9" s="25" t="e">
        <f>AND(#REF!,"AAAAAHpvdwc=")</f>
        <v>#REF!</v>
      </c>
      <c r="I9" s="25" t="e">
        <f>AND(#REF!,"AAAAAHpvdwg=")</f>
        <v>#REF!</v>
      </c>
      <c r="J9" s="25" t="e">
        <f>AND(#REF!,"AAAAAHpvdwk=")</f>
        <v>#REF!</v>
      </c>
      <c r="K9" s="25" t="e">
        <f>AND(#REF!,"AAAAAHpvdwo=")</f>
        <v>#REF!</v>
      </c>
      <c r="L9" s="25" t="e">
        <f>AND(#REF!,"AAAAAHpvdws=")</f>
        <v>#REF!</v>
      </c>
      <c r="M9" s="25" t="e">
        <f>AND(#REF!,"AAAAAHpvdww=")</f>
        <v>#REF!</v>
      </c>
      <c r="N9" s="25" t="e">
        <f>AND(#REF!,"AAAAAHpvdw0=")</f>
        <v>#REF!</v>
      </c>
      <c r="O9" s="25" t="e">
        <f>AND(#REF!,"AAAAAHpvdw4=")</f>
        <v>#REF!</v>
      </c>
      <c r="P9" s="25" t="e">
        <f>AND(#REF!,"AAAAAHpvdw8=")</f>
        <v>#REF!</v>
      </c>
      <c r="Q9" s="25" t="e">
        <f>AND(#REF!,"AAAAAHpvdxA=")</f>
        <v>#REF!</v>
      </c>
      <c r="R9" s="25" t="e">
        <f>AND(#REF!,"AAAAAHpvdxE=")</f>
        <v>#REF!</v>
      </c>
      <c r="S9" s="25" t="e">
        <f>AND(#REF!,"AAAAAHpvdxI=")</f>
        <v>#REF!</v>
      </c>
      <c r="T9" s="25" t="e">
        <f>AND(#REF!,"AAAAAHpvdxM=")</f>
        <v>#REF!</v>
      </c>
      <c r="U9" s="25" t="e">
        <f>IF(#REF!,"AAAAAHpvdxQ=",0)</f>
        <v>#REF!</v>
      </c>
      <c r="V9" s="25" t="e">
        <f>AND(#REF!,"AAAAAHpvdxU=")</f>
        <v>#REF!</v>
      </c>
      <c r="W9" s="25" t="e">
        <f>AND(#REF!,"AAAAAHpvdxY=")</f>
        <v>#REF!</v>
      </c>
      <c r="X9" s="25" t="e">
        <f>AND(#REF!,"AAAAAHpvdxc=")</f>
        <v>#REF!</v>
      </c>
      <c r="Y9" s="25" t="e">
        <f>AND(#REF!,"AAAAAHpvdxg=")</f>
        <v>#REF!</v>
      </c>
      <c r="Z9" s="25" t="e">
        <f>AND(#REF!,"AAAAAHpvdxk=")</f>
        <v>#REF!</v>
      </c>
      <c r="AA9" s="25" t="e">
        <f>AND(#REF!,"AAAAAHpvdxo=")</f>
        <v>#REF!</v>
      </c>
      <c r="AB9" s="25" t="e">
        <f>AND(#REF!,"AAAAAHpvdxs=")</f>
        <v>#REF!</v>
      </c>
      <c r="AC9" s="25" t="e">
        <f>AND(#REF!,"AAAAAHpvdxw=")</f>
        <v>#REF!</v>
      </c>
      <c r="AD9" s="25" t="e">
        <f>AND(#REF!,"AAAAAHpvdx0=")</f>
        <v>#REF!</v>
      </c>
      <c r="AE9" s="25" t="e">
        <f>AND(#REF!,"AAAAAHpvdx4=")</f>
        <v>#REF!</v>
      </c>
      <c r="AF9" s="25" t="e">
        <f>AND(#REF!,"AAAAAHpvdx8=")</f>
        <v>#REF!</v>
      </c>
      <c r="AG9" s="25" t="e">
        <f>AND(#REF!,"AAAAAHpvdyA=")</f>
        <v>#REF!</v>
      </c>
      <c r="AH9" s="25" t="e">
        <f>AND(#REF!,"AAAAAHpvdyE=")</f>
        <v>#REF!</v>
      </c>
      <c r="AI9" s="25" t="e">
        <f>AND(#REF!,"AAAAAHpvdyI=")</f>
        <v>#REF!</v>
      </c>
      <c r="AJ9" s="25" t="e">
        <f>AND(#REF!,"AAAAAHpvdyM=")</f>
        <v>#REF!</v>
      </c>
      <c r="AK9" s="25" t="e">
        <f>AND(#REF!,"AAAAAHpvdyQ=")</f>
        <v>#REF!</v>
      </c>
      <c r="AL9" s="25" t="e">
        <f>AND(#REF!,"AAAAAHpvdyU=")</f>
        <v>#REF!</v>
      </c>
      <c r="AM9" s="25" t="e">
        <f>AND(#REF!,"AAAAAHpvdyY=")</f>
        <v>#REF!</v>
      </c>
      <c r="AN9" s="25" t="e">
        <f>AND(#REF!,"AAAAAHpvdyc=")</f>
        <v>#REF!</v>
      </c>
      <c r="AO9" s="25" t="e">
        <f>AND(#REF!,"AAAAAHpvdyg=")</f>
        <v>#REF!</v>
      </c>
      <c r="AP9" s="25" t="e">
        <f>AND(#REF!,"AAAAAHpvdyk=")</f>
        <v>#REF!</v>
      </c>
      <c r="AQ9" s="25" t="e">
        <f>IF(#REF!,"AAAAAHpvdyo=",0)</f>
        <v>#REF!</v>
      </c>
      <c r="AR9" s="25" t="e">
        <f>AND(#REF!,"AAAAAHpvdys=")</f>
        <v>#REF!</v>
      </c>
      <c r="AS9" s="25" t="e">
        <f>AND(#REF!,"AAAAAHpvdyw=")</f>
        <v>#REF!</v>
      </c>
      <c r="AT9" s="25" t="e">
        <f>AND(#REF!,"AAAAAHpvdy0=")</f>
        <v>#REF!</v>
      </c>
      <c r="AU9" s="25" t="e">
        <f>AND(#REF!,"AAAAAHpvdy4=")</f>
        <v>#REF!</v>
      </c>
      <c r="AV9" s="25" t="e">
        <f>AND(#REF!,"AAAAAHpvdy8=")</f>
        <v>#REF!</v>
      </c>
      <c r="AW9" s="25" t="e">
        <f>AND(#REF!,"AAAAAHpvdzA=")</f>
        <v>#REF!</v>
      </c>
      <c r="AX9" s="25" t="e">
        <f>AND(#REF!,"AAAAAHpvdzE=")</f>
        <v>#REF!</v>
      </c>
      <c r="AY9" s="25" t="e">
        <f>AND(#REF!,"AAAAAHpvdzI=")</f>
        <v>#REF!</v>
      </c>
      <c r="AZ9" s="25" t="e">
        <f>AND(#REF!,"AAAAAHpvdzM=")</f>
        <v>#REF!</v>
      </c>
      <c r="BA9" s="25" t="e">
        <f>AND(#REF!,"AAAAAHpvdzQ=")</f>
        <v>#REF!</v>
      </c>
      <c r="BB9" s="25" t="e">
        <f>AND(#REF!,"AAAAAHpvdzU=")</f>
        <v>#REF!</v>
      </c>
      <c r="BC9" s="25" t="e">
        <f>AND(#REF!,"AAAAAHpvdzY=")</f>
        <v>#REF!</v>
      </c>
      <c r="BD9" s="25" t="e">
        <f>AND(#REF!,"AAAAAHpvdzc=")</f>
        <v>#REF!</v>
      </c>
      <c r="BE9" s="25" t="e">
        <f>AND(#REF!,"AAAAAHpvdzg=")</f>
        <v>#REF!</v>
      </c>
      <c r="BF9" s="25" t="e">
        <f>AND(#REF!,"AAAAAHpvdzk=")</f>
        <v>#REF!</v>
      </c>
      <c r="BG9" s="25" t="e">
        <f>AND(#REF!,"AAAAAHpvdzo=")</f>
        <v>#REF!</v>
      </c>
      <c r="BH9" s="25" t="e">
        <f>AND(#REF!,"AAAAAHpvdzs=")</f>
        <v>#REF!</v>
      </c>
      <c r="BI9" s="25" t="e">
        <f>AND(#REF!,"AAAAAHpvdzw=")</f>
        <v>#REF!</v>
      </c>
      <c r="BJ9" s="25" t="e">
        <f>AND(#REF!,"AAAAAHpvdz0=")</f>
        <v>#REF!</v>
      </c>
      <c r="BK9" s="25" t="e">
        <f>AND(#REF!,"AAAAAHpvdz4=")</f>
        <v>#REF!</v>
      </c>
      <c r="BL9" s="25" t="e">
        <f>AND(#REF!,"AAAAAHpvdz8=")</f>
        <v>#REF!</v>
      </c>
      <c r="BM9" s="25" t="e">
        <f>IF(#REF!,"AAAAAHpvd0A=",0)</f>
        <v>#REF!</v>
      </c>
      <c r="BN9" s="25" t="e">
        <f>AND(#REF!,"AAAAAHpvd0E=")</f>
        <v>#REF!</v>
      </c>
      <c r="BO9" s="25" t="e">
        <f>AND(#REF!,"AAAAAHpvd0I=")</f>
        <v>#REF!</v>
      </c>
      <c r="BP9" s="25" t="e">
        <f>AND(#REF!,"AAAAAHpvd0M=")</f>
        <v>#REF!</v>
      </c>
      <c r="BQ9" s="25" t="e">
        <f>AND(#REF!,"AAAAAHpvd0Q=")</f>
        <v>#REF!</v>
      </c>
      <c r="BR9" s="25" t="e">
        <f>AND(#REF!,"AAAAAHpvd0U=")</f>
        <v>#REF!</v>
      </c>
      <c r="BS9" s="25" t="e">
        <f>AND(#REF!,"AAAAAHpvd0Y=")</f>
        <v>#REF!</v>
      </c>
      <c r="BT9" s="25" t="e">
        <f>AND(#REF!,"AAAAAHpvd0c=")</f>
        <v>#REF!</v>
      </c>
      <c r="BU9" s="25" t="e">
        <f>AND(#REF!,"AAAAAHpvd0g=")</f>
        <v>#REF!</v>
      </c>
      <c r="BV9" s="25" t="e">
        <f>AND(#REF!,"AAAAAHpvd0k=")</f>
        <v>#REF!</v>
      </c>
      <c r="BW9" s="25" t="e">
        <f>AND(#REF!,"AAAAAHpvd0o=")</f>
        <v>#REF!</v>
      </c>
      <c r="BX9" s="25" t="e">
        <f>AND(#REF!,"AAAAAHpvd0s=")</f>
        <v>#REF!</v>
      </c>
      <c r="BY9" s="25" t="e">
        <f>AND(#REF!,"AAAAAHpvd0w=")</f>
        <v>#REF!</v>
      </c>
      <c r="BZ9" s="25" t="e">
        <f>AND(#REF!,"AAAAAHpvd00=")</f>
        <v>#REF!</v>
      </c>
      <c r="CA9" s="25" t="e">
        <f>AND(#REF!,"AAAAAHpvd04=")</f>
        <v>#REF!</v>
      </c>
      <c r="CB9" s="25" t="e">
        <f>AND(#REF!,"AAAAAHpvd08=")</f>
        <v>#REF!</v>
      </c>
      <c r="CC9" s="25" t="e">
        <f>AND(#REF!,"AAAAAHpvd1A=")</f>
        <v>#REF!</v>
      </c>
      <c r="CD9" s="25" t="e">
        <f>AND(#REF!,"AAAAAHpvd1E=")</f>
        <v>#REF!</v>
      </c>
      <c r="CE9" s="25" t="e">
        <f>AND(#REF!,"AAAAAHpvd1I=")</f>
        <v>#REF!</v>
      </c>
      <c r="CF9" s="25" t="e">
        <f>AND(#REF!,"AAAAAHpvd1M=")</f>
        <v>#REF!</v>
      </c>
      <c r="CG9" s="25" t="e">
        <f>AND(#REF!,"AAAAAHpvd1Q=")</f>
        <v>#REF!</v>
      </c>
      <c r="CH9" s="25" t="e">
        <f>AND(#REF!,"AAAAAHpvd1U=")</f>
        <v>#REF!</v>
      </c>
      <c r="CI9" s="25" t="e">
        <f>IF(#REF!,"AAAAAHpvd1Y=",0)</f>
        <v>#REF!</v>
      </c>
      <c r="CJ9" s="25" t="e">
        <f>AND(#REF!,"AAAAAHpvd1c=")</f>
        <v>#REF!</v>
      </c>
      <c r="CK9" s="25" t="e">
        <f>AND(#REF!,"AAAAAHpvd1g=")</f>
        <v>#REF!</v>
      </c>
      <c r="CL9" s="25" t="e">
        <f>AND(#REF!,"AAAAAHpvd1k=")</f>
        <v>#REF!</v>
      </c>
      <c r="CM9" s="25" t="e">
        <f>AND(#REF!,"AAAAAHpvd1o=")</f>
        <v>#REF!</v>
      </c>
      <c r="CN9" s="25" t="e">
        <f>AND(#REF!,"AAAAAHpvd1s=")</f>
        <v>#REF!</v>
      </c>
      <c r="CO9" s="25" t="e">
        <f>AND(#REF!,"AAAAAHpvd1w=")</f>
        <v>#REF!</v>
      </c>
      <c r="CP9" s="25" t="e">
        <f>AND(#REF!,"AAAAAHpvd10=")</f>
        <v>#REF!</v>
      </c>
      <c r="CQ9" s="25" t="e">
        <f>AND(#REF!,"AAAAAHpvd14=")</f>
        <v>#REF!</v>
      </c>
      <c r="CR9" s="25" t="e">
        <f>AND(#REF!,"AAAAAHpvd18=")</f>
        <v>#REF!</v>
      </c>
      <c r="CS9" s="25" t="e">
        <f>AND(#REF!,"AAAAAHpvd2A=")</f>
        <v>#REF!</v>
      </c>
      <c r="CT9" s="25" t="e">
        <f>AND(#REF!,"AAAAAHpvd2E=")</f>
        <v>#REF!</v>
      </c>
      <c r="CU9" s="25" t="e">
        <f>AND(#REF!,"AAAAAHpvd2I=")</f>
        <v>#REF!</v>
      </c>
      <c r="CV9" s="25" t="e">
        <f>AND(#REF!,"AAAAAHpvd2M=")</f>
        <v>#REF!</v>
      </c>
      <c r="CW9" s="25" t="e">
        <f>AND(#REF!,"AAAAAHpvd2Q=")</f>
        <v>#REF!</v>
      </c>
      <c r="CX9" s="25" t="e">
        <f>AND(#REF!,"AAAAAHpvd2U=")</f>
        <v>#REF!</v>
      </c>
      <c r="CY9" s="25" t="e">
        <f>AND(#REF!,"AAAAAHpvd2Y=")</f>
        <v>#REF!</v>
      </c>
      <c r="CZ9" s="25" t="e">
        <f>AND(#REF!,"AAAAAHpvd2c=")</f>
        <v>#REF!</v>
      </c>
      <c r="DA9" s="25" t="e">
        <f>AND(#REF!,"AAAAAHpvd2g=")</f>
        <v>#REF!</v>
      </c>
      <c r="DB9" s="25" t="e">
        <f>AND(#REF!,"AAAAAHpvd2k=")</f>
        <v>#REF!</v>
      </c>
      <c r="DC9" s="25" t="e">
        <f>AND(#REF!,"AAAAAHpvd2o=")</f>
        <v>#REF!</v>
      </c>
      <c r="DD9" s="25" t="e">
        <f>AND(#REF!,"AAAAAHpvd2s=")</f>
        <v>#REF!</v>
      </c>
      <c r="DE9" s="25" t="e">
        <f>IF(#REF!,"AAAAAHpvd2w=",0)</f>
        <v>#REF!</v>
      </c>
      <c r="DF9" s="25" t="e">
        <f>AND(#REF!,"AAAAAHpvd20=")</f>
        <v>#REF!</v>
      </c>
      <c r="DG9" s="25" t="e">
        <f>AND(#REF!,"AAAAAHpvd24=")</f>
        <v>#REF!</v>
      </c>
      <c r="DH9" s="25" t="e">
        <f>AND(#REF!,"AAAAAHpvd28=")</f>
        <v>#REF!</v>
      </c>
      <c r="DI9" s="25" t="e">
        <f>AND(#REF!,"AAAAAHpvd3A=")</f>
        <v>#REF!</v>
      </c>
      <c r="DJ9" s="25" t="e">
        <f>AND(#REF!,"AAAAAHpvd3E=")</f>
        <v>#REF!</v>
      </c>
      <c r="DK9" s="25" t="e">
        <f>AND(#REF!,"AAAAAHpvd3I=")</f>
        <v>#REF!</v>
      </c>
      <c r="DL9" s="25" t="e">
        <f>AND(#REF!,"AAAAAHpvd3M=")</f>
        <v>#REF!</v>
      </c>
      <c r="DM9" s="25" t="e">
        <f>AND(#REF!,"AAAAAHpvd3Q=")</f>
        <v>#REF!</v>
      </c>
      <c r="DN9" s="25" t="e">
        <f>AND(#REF!,"AAAAAHpvd3U=")</f>
        <v>#REF!</v>
      </c>
      <c r="DO9" s="25" t="e">
        <f>AND(#REF!,"AAAAAHpvd3Y=")</f>
        <v>#REF!</v>
      </c>
      <c r="DP9" s="25" t="e">
        <f>AND(#REF!,"AAAAAHpvd3c=")</f>
        <v>#REF!</v>
      </c>
      <c r="DQ9" s="25" t="e">
        <f>AND(#REF!,"AAAAAHpvd3g=")</f>
        <v>#REF!</v>
      </c>
      <c r="DR9" s="25" t="e">
        <f>AND(#REF!,"AAAAAHpvd3k=")</f>
        <v>#REF!</v>
      </c>
      <c r="DS9" s="25" t="e">
        <f>AND(#REF!,"AAAAAHpvd3o=")</f>
        <v>#REF!</v>
      </c>
      <c r="DT9" s="25" t="e">
        <f>AND(#REF!,"AAAAAHpvd3s=")</f>
        <v>#REF!</v>
      </c>
      <c r="DU9" s="25" t="e">
        <f>AND(#REF!,"AAAAAHpvd3w=")</f>
        <v>#REF!</v>
      </c>
      <c r="DV9" s="25" t="e">
        <f>AND(#REF!,"AAAAAHpvd30=")</f>
        <v>#REF!</v>
      </c>
      <c r="DW9" s="25" t="e">
        <f>AND(#REF!,"AAAAAHpvd34=")</f>
        <v>#REF!</v>
      </c>
      <c r="DX9" s="25" t="e">
        <f>AND(#REF!,"AAAAAHpvd38=")</f>
        <v>#REF!</v>
      </c>
      <c r="DY9" s="25" t="e">
        <f>AND(#REF!,"AAAAAHpvd4A=")</f>
        <v>#REF!</v>
      </c>
      <c r="DZ9" s="25" t="e">
        <f>AND(#REF!,"AAAAAHpvd4E=")</f>
        <v>#REF!</v>
      </c>
      <c r="EA9" s="25" t="e">
        <f>IF(#REF!,"AAAAAHpvd4I=",0)</f>
        <v>#REF!</v>
      </c>
      <c r="EB9" s="25" t="e">
        <f>AND(#REF!,"AAAAAHpvd4M=")</f>
        <v>#REF!</v>
      </c>
      <c r="EC9" s="25" t="e">
        <f>AND(#REF!,"AAAAAHpvd4Q=")</f>
        <v>#REF!</v>
      </c>
      <c r="ED9" s="25" t="e">
        <f>AND(#REF!,"AAAAAHpvd4U=")</f>
        <v>#REF!</v>
      </c>
      <c r="EE9" s="25" t="e">
        <f>AND(#REF!,"AAAAAHpvd4Y=")</f>
        <v>#REF!</v>
      </c>
      <c r="EF9" s="25" t="e">
        <f>AND(#REF!,"AAAAAHpvd4c=")</f>
        <v>#REF!</v>
      </c>
      <c r="EG9" s="25" t="e">
        <f>AND(#REF!,"AAAAAHpvd4g=")</f>
        <v>#REF!</v>
      </c>
      <c r="EH9" s="25" t="e">
        <f>AND(#REF!,"AAAAAHpvd4k=")</f>
        <v>#REF!</v>
      </c>
      <c r="EI9" s="25" t="e">
        <f>AND(#REF!,"AAAAAHpvd4o=")</f>
        <v>#REF!</v>
      </c>
      <c r="EJ9" s="25" t="e">
        <f>AND(#REF!,"AAAAAHpvd4s=")</f>
        <v>#REF!</v>
      </c>
      <c r="EK9" s="25" t="e">
        <f>AND(#REF!,"AAAAAHpvd4w=")</f>
        <v>#REF!</v>
      </c>
      <c r="EL9" s="25" t="e">
        <f>AND(#REF!,"AAAAAHpvd40=")</f>
        <v>#REF!</v>
      </c>
      <c r="EM9" s="25" t="e">
        <f>AND(#REF!,"AAAAAHpvd44=")</f>
        <v>#REF!</v>
      </c>
      <c r="EN9" s="25" t="e">
        <f>AND(#REF!,"AAAAAHpvd48=")</f>
        <v>#REF!</v>
      </c>
      <c r="EO9" s="25" t="e">
        <f>AND(#REF!,"AAAAAHpvd5A=")</f>
        <v>#REF!</v>
      </c>
      <c r="EP9" s="25" t="e">
        <f>AND(#REF!,"AAAAAHpvd5E=")</f>
        <v>#REF!</v>
      </c>
      <c r="EQ9" s="25" t="e">
        <f>AND(#REF!,"AAAAAHpvd5I=")</f>
        <v>#REF!</v>
      </c>
      <c r="ER9" s="25" t="e">
        <f>AND(#REF!,"AAAAAHpvd5M=")</f>
        <v>#REF!</v>
      </c>
      <c r="ES9" s="25" t="e">
        <f>AND(#REF!,"AAAAAHpvd5Q=")</f>
        <v>#REF!</v>
      </c>
      <c r="ET9" s="25" t="e">
        <f>AND(#REF!,"AAAAAHpvd5U=")</f>
        <v>#REF!</v>
      </c>
      <c r="EU9" s="25" t="e">
        <f>AND(#REF!,"AAAAAHpvd5Y=")</f>
        <v>#REF!</v>
      </c>
      <c r="EV9" s="25" t="e">
        <f>AND(#REF!,"AAAAAHpvd5c=")</f>
        <v>#REF!</v>
      </c>
      <c r="EW9" s="25" t="e">
        <f>IF(#REF!,"AAAAAHpvd5g=",0)</f>
        <v>#REF!</v>
      </c>
      <c r="EX9" s="25" t="e">
        <f>AND(#REF!,"AAAAAHpvd5k=")</f>
        <v>#REF!</v>
      </c>
      <c r="EY9" s="25" t="e">
        <f>AND(#REF!,"AAAAAHpvd5o=")</f>
        <v>#REF!</v>
      </c>
      <c r="EZ9" s="25" t="e">
        <f>AND(#REF!,"AAAAAHpvd5s=")</f>
        <v>#REF!</v>
      </c>
      <c r="FA9" s="25" t="e">
        <f>AND(#REF!,"AAAAAHpvd5w=")</f>
        <v>#REF!</v>
      </c>
      <c r="FB9" s="25" t="e">
        <f>AND(#REF!,"AAAAAHpvd50=")</f>
        <v>#REF!</v>
      </c>
      <c r="FC9" s="25" t="e">
        <f>AND(#REF!,"AAAAAHpvd54=")</f>
        <v>#REF!</v>
      </c>
      <c r="FD9" s="25" t="e">
        <f>AND(#REF!,"AAAAAHpvd58=")</f>
        <v>#REF!</v>
      </c>
      <c r="FE9" s="25" t="e">
        <f>AND(#REF!,"AAAAAHpvd6A=")</f>
        <v>#REF!</v>
      </c>
      <c r="FF9" s="25" t="e">
        <f>AND(#REF!,"AAAAAHpvd6E=")</f>
        <v>#REF!</v>
      </c>
      <c r="FG9" s="25" t="e">
        <f>AND(#REF!,"AAAAAHpvd6I=")</f>
        <v>#REF!</v>
      </c>
      <c r="FH9" s="25" t="e">
        <f>AND(#REF!,"AAAAAHpvd6M=")</f>
        <v>#REF!</v>
      </c>
      <c r="FI9" s="25" t="e">
        <f>AND(#REF!,"AAAAAHpvd6Q=")</f>
        <v>#REF!</v>
      </c>
      <c r="FJ9" s="25" t="e">
        <f>AND(#REF!,"AAAAAHpvd6U=")</f>
        <v>#REF!</v>
      </c>
      <c r="FK9" s="25" t="e">
        <f>AND(#REF!,"AAAAAHpvd6Y=")</f>
        <v>#REF!</v>
      </c>
      <c r="FL9" s="25" t="e">
        <f>AND(#REF!,"AAAAAHpvd6c=")</f>
        <v>#REF!</v>
      </c>
      <c r="FM9" s="25" t="e">
        <f>AND(#REF!,"AAAAAHpvd6g=")</f>
        <v>#REF!</v>
      </c>
      <c r="FN9" s="25" t="e">
        <f>AND(#REF!,"AAAAAHpvd6k=")</f>
        <v>#REF!</v>
      </c>
      <c r="FO9" s="25" t="e">
        <f>AND(#REF!,"AAAAAHpvd6o=")</f>
        <v>#REF!</v>
      </c>
      <c r="FP9" s="25" t="e">
        <f>AND(#REF!,"AAAAAHpvd6s=")</f>
        <v>#REF!</v>
      </c>
      <c r="FQ9" s="25" t="e">
        <f>AND(#REF!,"AAAAAHpvd6w=")</f>
        <v>#REF!</v>
      </c>
      <c r="FR9" s="25" t="e">
        <f>AND(#REF!,"AAAAAHpvd60=")</f>
        <v>#REF!</v>
      </c>
      <c r="FS9" s="25" t="e">
        <f>IF(#REF!,"AAAAAHpvd64=",0)</f>
        <v>#REF!</v>
      </c>
      <c r="FT9" s="25" t="e">
        <f>AND(#REF!,"AAAAAHpvd68=")</f>
        <v>#REF!</v>
      </c>
      <c r="FU9" s="25" t="e">
        <f>AND(#REF!,"AAAAAHpvd7A=")</f>
        <v>#REF!</v>
      </c>
      <c r="FV9" s="25" t="e">
        <f>AND(#REF!,"AAAAAHpvd7E=")</f>
        <v>#REF!</v>
      </c>
      <c r="FW9" s="25" t="e">
        <f>AND(#REF!,"AAAAAHpvd7I=")</f>
        <v>#REF!</v>
      </c>
      <c r="FX9" s="25" t="e">
        <f>AND(#REF!,"AAAAAHpvd7M=")</f>
        <v>#REF!</v>
      </c>
      <c r="FY9" s="25" t="e">
        <f>AND(#REF!,"AAAAAHpvd7Q=")</f>
        <v>#REF!</v>
      </c>
      <c r="FZ9" s="25" t="e">
        <f>AND(#REF!,"AAAAAHpvd7U=")</f>
        <v>#REF!</v>
      </c>
      <c r="GA9" s="25" t="e">
        <f>AND(#REF!,"AAAAAHpvd7Y=")</f>
        <v>#REF!</v>
      </c>
      <c r="GB9" s="25" t="e">
        <f>AND(#REF!,"AAAAAHpvd7c=")</f>
        <v>#REF!</v>
      </c>
      <c r="GC9" s="25" t="e">
        <f>AND(#REF!,"AAAAAHpvd7g=")</f>
        <v>#REF!</v>
      </c>
      <c r="GD9" s="25" t="e">
        <f>AND(#REF!,"AAAAAHpvd7k=")</f>
        <v>#REF!</v>
      </c>
      <c r="GE9" s="25" t="e">
        <f>AND(#REF!,"AAAAAHpvd7o=")</f>
        <v>#REF!</v>
      </c>
      <c r="GF9" s="25" t="e">
        <f>AND(#REF!,"AAAAAHpvd7s=")</f>
        <v>#REF!</v>
      </c>
      <c r="GG9" s="25" t="e">
        <f>AND(#REF!,"AAAAAHpvd7w=")</f>
        <v>#REF!</v>
      </c>
      <c r="GH9" s="25" t="e">
        <f>AND(#REF!,"AAAAAHpvd70=")</f>
        <v>#REF!</v>
      </c>
      <c r="GI9" s="25" t="e">
        <f>AND(#REF!,"AAAAAHpvd74=")</f>
        <v>#REF!</v>
      </c>
      <c r="GJ9" s="25" t="e">
        <f>AND(#REF!,"AAAAAHpvd78=")</f>
        <v>#REF!</v>
      </c>
      <c r="GK9" s="25" t="e">
        <f>AND(#REF!,"AAAAAHpvd8A=")</f>
        <v>#REF!</v>
      </c>
      <c r="GL9" s="25" t="e">
        <f>AND(#REF!,"AAAAAHpvd8E=")</f>
        <v>#REF!</v>
      </c>
      <c r="GM9" s="25" t="e">
        <f>AND(#REF!,"AAAAAHpvd8I=")</f>
        <v>#REF!</v>
      </c>
      <c r="GN9" s="25" t="e">
        <f>AND(#REF!,"AAAAAHpvd8M=")</f>
        <v>#REF!</v>
      </c>
      <c r="GO9" s="25" t="e">
        <f>IF(#REF!,"AAAAAHpvd8Q=",0)</f>
        <v>#REF!</v>
      </c>
      <c r="GP9" s="25" t="e">
        <f>AND(#REF!,"AAAAAHpvd8U=")</f>
        <v>#REF!</v>
      </c>
      <c r="GQ9" s="25" t="e">
        <f>AND(#REF!,"AAAAAHpvd8Y=")</f>
        <v>#REF!</v>
      </c>
      <c r="GR9" s="25" t="e">
        <f>AND(#REF!,"AAAAAHpvd8c=")</f>
        <v>#REF!</v>
      </c>
      <c r="GS9" s="25" t="e">
        <f>AND(#REF!,"AAAAAHpvd8g=")</f>
        <v>#REF!</v>
      </c>
      <c r="GT9" s="25" t="e">
        <f>AND(#REF!,"AAAAAHpvd8k=")</f>
        <v>#REF!</v>
      </c>
      <c r="GU9" s="25" t="e">
        <f>AND(#REF!,"AAAAAHpvd8o=")</f>
        <v>#REF!</v>
      </c>
      <c r="GV9" s="25" t="e">
        <f>AND(#REF!,"AAAAAHpvd8s=")</f>
        <v>#REF!</v>
      </c>
      <c r="GW9" s="25" t="e">
        <f>AND(#REF!,"AAAAAHpvd8w=")</f>
        <v>#REF!</v>
      </c>
      <c r="GX9" s="25" t="e">
        <f>AND(#REF!,"AAAAAHpvd80=")</f>
        <v>#REF!</v>
      </c>
      <c r="GY9" s="25" t="e">
        <f>AND(#REF!,"AAAAAHpvd84=")</f>
        <v>#REF!</v>
      </c>
      <c r="GZ9" s="25" t="e">
        <f>AND(#REF!,"AAAAAHpvd88=")</f>
        <v>#REF!</v>
      </c>
      <c r="HA9" s="25" t="e">
        <f>AND(#REF!,"AAAAAHpvd9A=")</f>
        <v>#REF!</v>
      </c>
      <c r="HB9" s="25" t="e">
        <f>AND(#REF!,"AAAAAHpvd9E=")</f>
        <v>#REF!</v>
      </c>
      <c r="HC9" s="25" t="e">
        <f>AND(#REF!,"AAAAAHpvd9I=")</f>
        <v>#REF!</v>
      </c>
      <c r="HD9" s="25" t="e">
        <f>AND(#REF!,"AAAAAHpvd9M=")</f>
        <v>#REF!</v>
      </c>
      <c r="HE9" s="25" t="e">
        <f>AND(#REF!,"AAAAAHpvd9Q=")</f>
        <v>#REF!</v>
      </c>
      <c r="HF9" s="25" t="e">
        <f>AND(#REF!,"AAAAAHpvd9U=")</f>
        <v>#REF!</v>
      </c>
      <c r="HG9" s="25" t="e">
        <f>AND(#REF!,"AAAAAHpvd9Y=")</f>
        <v>#REF!</v>
      </c>
      <c r="HH9" s="25" t="e">
        <f>AND(#REF!,"AAAAAHpvd9c=")</f>
        <v>#REF!</v>
      </c>
      <c r="HI9" s="25" t="e">
        <f>AND(#REF!,"AAAAAHpvd9g=")</f>
        <v>#REF!</v>
      </c>
      <c r="HJ9" s="25" t="e">
        <f>AND(#REF!,"AAAAAHpvd9k=")</f>
        <v>#REF!</v>
      </c>
      <c r="HK9" s="25" t="e">
        <f>IF(#REF!,"AAAAAHpvd9o=",0)</f>
        <v>#REF!</v>
      </c>
      <c r="HL9" s="25" t="e">
        <f>AND(#REF!,"AAAAAHpvd9s=")</f>
        <v>#REF!</v>
      </c>
      <c r="HM9" s="25" t="e">
        <f>AND(#REF!,"AAAAAHpvd9w=")</f>
        <v>#REF!</v>
      </c>
      <c r="HN9" s="25" t="e">
        <f>AND(#REF!,"AAAAAHpvd90=")</f>
        <v>#REF!</v>
      </c>
      <c r="HO9" s="25" t="e">
        <f>AND(#REF!,"AAAAAHpvd94=")</f>
        <v>#REF!</v>
      </c>
      <c r="HP9" s="25" t="e">
        <f>AND(#REF!,"AAAAAHpvd98=")</f>
        <v>#REF!</v>
      </c>
      <c r="HQ9" s="25" t="e">
        <f>AND(#REF!,"AAAAAHpvd+A=")</f>
        <v>#REF!</v>
      </c>
      <c r="HR9" s="25" t="e">
        <f>AND(#REF!,"AAAAAHpvd+E=")</f>
        <v>#REF!</v>
      </c>
      <c r="HS9" s="25" t="e">
        <f>AND(#REF!,"AAAAAHpvd+I=")</f>
        <v>#REF!</v>
      </c>
      <c r="HT9" s="25" t="e">
        <f>AND(#REF!,"AAAAAHpvd+M=")</f>
        <v>#REF!</v>
      </c>
      <c r="HU9" s="25" t="e">
        <f>AND(#REF!,"AAAAAHpvd+Q=")</f>
        <v>#REF!</v>
      </c>
      <c r="HV9" s="25" t="e">
        <f>AND(#REF!,"AAAAAHpvd+U=")</f>
        <v>#REF!</v>
      </c>
      <c r="HW9" s="25" t="e">
        <f>AND(#REF!,"AAAAAHpvd+Y=")</f>
        <v>#REF!</v>
      </c>
      <c r="HX9" s="25" t="e">
        <f>AND(#REF!,"AAAAAHpvd+c=")</f>
        <v>#REF!</v>
      </c>
      <c r="HY9" s="25" t="e">
        <f>AND(#REF!,"AAAAAHpvd+g=")</f>
        <v>#REF!</v>
      </c>
      <c r="HZ9" s="25" t="e">
        <f>AND(#REF!,"AAAAAHpvd+k=")</f>
        <v>#REF!</v>
      </c>
      <c r="IA9" s="25" t="e">
        <f>AND(#REF!,"AAAAAHpvd+o=")</f>
        <v>#REF!</v>
      </c>
      <c r="IB9" s="25" t="e">
        <f>AND(#REF!,"AAAAAHpvd+s=")</f>
        <v>#REF!</v>
      </c>
      <c r="IC9" s="25" t="e">
        <f>AND(#REF!,"AAAAAHpvd+w=")</f>
        <v>#REF!</v>
      </c>
      <c r="ID9" s="25" t="e">
        <f>AND(#REF!,"AAAAAHpvd+0=")</f>
        <v>#REF!</v>
      </c>
      <c r="IE9" s="25" t="e">
        <f>AND(#REF!,"AAAAAHpvd+4=")</f>
        <v>#REF!</v>
      </c>
      <c r="IF9" s="25" t="e">
        <f>AND(#REF!,"AAAAAHpvd+8=")</f>
        <v>#REF!</v>
      </c>
      <c r="IG9" s="25" t="e">
        <f>IF(#REF!,"AAAAAHpvd/A=",0)</f>
        <v>#REF!</v>
      </c>
      <c r="IH9" s="25" t="e">
        <f>AND(#REF!,"AAAAAHpvd/E=")</f>
        <v>#REF!</v>
      </c>
      <c r="II9" s="25" t="e">
        <f>AND(#REF!,"AAAAAHpvd/I=")</f>
        <v>#REF!</v>
      </c>
      <c r="IJ9" s="25" t="e">
        <f>AND(#REF!,"AAAAAHpvd/M=")</f>
        <v>#REF!</v>
      </c>
      <c r="IK9" s="25" t="e">
        <f>AND(#REF!,"AAAAAHpvd/Q=")</f>
        <v>#REF!</v>
      </c>
      <c r="IL9" s="25" t="e">
        <f>AND(#REF!,"AAAAAHpvd/U=")</f>
        <v>#REF!</v>
      </c>
      <c r="IM9" s="25" t="e">
        <f>AND(#REF!,"AAAAAHpvd/Y=")</f>
        <v>#REF!</v>
      </c>
      <c r="IN9" s="25" t="e">
        <f>AND(#REF!,"AAAAAHpvd/c=")</f>
        <v>#REF!</v>
      </c>
      <c r="IO9" s="25" t="e">
        <f>AND(#REF!,"AAAAAHpvd/g=")</f>
        <v>#REF!</v>
      </c>
      <c r="IP9" s="25" t="e">
        <f>AND(#REF!,"AAAAAHpvd/k=")</f>
        <v>#REF!</v>
      </c>
      <c r="IQ9" s="25" t="e">
        <f>AND(#REF!,"AAAAAHpvd/o=")</f>
        <v>#REF!</v>
      </c>
      <c r="IR9" s="25" t="e">
        <f>AND(#REF!,"AAAAAHpvd/s=")</f>
        <v>#REF!</v>
      </c>
      <c r="IS9" s="25" t="e">
        <f>AND(#REF!,"AAAAAHpvd/w=")</f>
        <v>#REF!</v>
      </c>
      <c r="IT9" s="25" t="e">
        <f>AND(#REF!,"AAAAAHpvd/0=")</f>
        <v>#REF!</v>
      </c>
      <c r="IU9" s="25" t="e">
        <f>AND(#REF!,"AAAAAHpvd/4=")</f>
        <v>#REF!</v>
      </c>
      <c r="IV9" s="25" t="e">
        <f>AND(#REF!,"AAAAAHpvd/8=")</f>
        <v>#REF!</v>
      </c>
    </row>
    <row r="10" spans="1:256" ht="12.75" customHeight="1" x14ac:dyDescent="0.2">
      <c r="A10" s="25" t="e">
        <f>AND(#REF!,"AAAAAG6vHgA=")</f>
        <v>#REF!</v>
      </c>
      <c r="B10" s="25" t="e">
        <f>AND(#REF!,"AAAAAG6vHgE=")</f>
        <v>#REF!</v>
      </c>
      <c r="C10" s="25" t="e">
        <f>AND(#REF!,"AAAAAG6vHgI=")</f>
        <v>#REF!</v>
      </c>
      <c r="D10" s="25" t="e">
        <f>AND(#REF!,"AAAAAG6vHgM=")</f>
        <v>#REF!</v>
      </c>
      <c r="E10" s="25" t="e">
        <f>AND(#REF!,"AAAAAG6vHgQ=")</f>
        <v>#REF!</v>
      </c>
      <c r="F10" s="25" t="e">
        <f>AND(#REF!,"AAAAAG6vHgU=")</f>
        <v>#REF!</v>
      </c>
      <c r="G10" s="25" t="e">
        <f>IF(#REF!,"AAAAAG6vHgY=",0)</f>
        <v>#REF!</v>
      </c>
      <c r="H10" s="25" t="e">
        <f>AND(#REF!,"AAAAAG6vHgc=")</f>
        <v>#REF!</v>
      </c>
      <c r="I10" s="25" t="e">
        <f>AND(#REF!,"AAAAAG6vHgg=")</f>
        <v>#REF!</v>
      </c>
      <c r="J10" s="25" t="e">
        <f>AND(#REF!,"AAAAAG6vHgk=")</f>
        <v>#REF!</v>
      </c>
      <c r="K10" s="25" t="e">
        <f>AND(#REF!,"AAAAAG6vHgo=")</f>
        <v>#REF!</v>
      </c>
      <c r="L10" s="25" t="e">
        <f>AND(#REF!,"AAAAAG6vHgs=")</f>
        <v>#REF!</v>
      </c>
      <c r="M10" s="25" t="e">
        <f>AND(#REF!,"AAAAAG6vHgw=")</f>
        <v>#REF!</v>
      </c>
      <c r="N10" s="25" t="e">
        <f>AND(#REF!,"AAAAAG6vHg0=")</f>
        <v>#REF!</v>
      </c>
      <c r="O10" s="25" t="e">
        <f>AND(#REF!,"AAAAAG6vHg4=")</f>
        <v>#REF!</v>
      </c>
      <c r="P10" s="25" t="e">
        <f>AND(#REF!,"AAAAAG6vHg8=")</f>
        <v>#REF!</v>
      </c>
      <c r="Q10" s="25" t="e">
        <f>AND(#REF!,"AAAAAG6vHhA=")</f>
        <v>#REF!</v>
      </c>
      <c r="R10" s="25" t="e">
        <f>AND(#REF!,"AAAAAG6vHhE=")</f>
        <v>#REF!</v>
      </c>
      <c r="S10" s="25" t="e">
        <f>AND(#REF!,"AAAAAG6vHhI=")</f>
        <v>#REF!</v>
      </c>
      <c r="T10" s="25" t="e">
        <f>AND(#REF!,"AAAAAG6vHhM=")</f>
        <v>#REF!</v>
      </c>
      <c r="U10" s="25" t="e">
        <f>AND(#REF!,"AAAAAG6vHhQ=")</f>
        <v>#REF!</v>
      </c>
      <c r="V10" s="25" t="e">
        <f>AND(#REF!,"AAAAAG6vHhU=")</f>
        <v>#REF!</v>
      </c>
      <c r="W10" s="25" t="e">
        <f>AND(#REF!,"AAAAAG6vHhY=")</f>
        <v>#REF!</v>
      </c>
      <c r="X10" s="25" t="e">
        <f>AND(#REF!,"AAAAAG6vHhc=")</f>
        <v>#REF!</v>
      </c>
      <c r="Y10" s="25" t="e">
        <f>AND(#REF!,"AAAAAG6vHhg=")</f>
        <v>#REF!</v>
      </c>
      <c r="Z10" s="25" t="e">
        <f>AND(#REF!,"AAAAAG6vHhk=")</f>
        <v>#REF!</v>
      </c>
      <c r="AA10" s="25" t="e">
        <f>AND(#REF!,"AAAAAG6vHho=")</f>
        <v>#REF!</v>
      </c>
      <c r="AB10" s="25" t="e">
        <f>AND(#REF!,"AAAAAG6vHhs=")</f>
        <v>#REF!</v>
      </c>
      <c r="AC10" s="25" t="e">
        <f>IF(#REF!,"AAAAAG6vHhw=",0)</f>
        <v>#REF!</v>
      </c>
      <c r="AD10" s="25" t="e">
        <f>AND(#REF!,"AAAAAG6vHh0=")</f>
        <v>#REF!</v>
      </c>
      <c r="AE10" s="25" t="e">
        <f>AND(#REF!,"AAAAAG6vHh4=")</f>
        <v>#REF!</v>
      </c>
      <c r="AF10" s="25" t="e">
        <f>AND(#REF!,"AAAAAG6vHh8=")</f>
        <v>#REF!</v>
      </c>
      <c r="AG10" s="25" t="e">
        <f>AND(#REF!,"AAAAAG6vHiA=")</f>
        <v>#REF!</v>
      </c>
      <c r="AH10" s="25" t="e">
        <f>AND(#REF!,"AAAAAG6vHiE=")</f>
        <v>#REF!</v>
      </c>
      <c r="AI10" s="25" t="e">
        <f>AND(#REF!,"AAAAAG6vHiI=")</f>
        <v>#REF!</v>
      </c>
      <c r="AJ10" s="25" t="e">
        <f>AND(#REF!,"AAAAAG6vHiM=")</f>
        <v>#REF!</v>
      </c>
      <c r="AK10" s="25" t="e">
        <f>AND(#REF!,"AAAAAG6vHiQ=")</f>
        <v>#REF!</v>
      </c>
      <c r="AL10" s="25" t="e">
        <f>AND(#REF!,"AAAAAG6vHiU=")</f>
        <v>#REF!</v>
      </c>
      <c r="AM10" s="25" t="e">
        <f>AND(#REF!,"AAAAAG6vHiY=")</f>
        <v>#REF!</v>
      </c>
      <c r="AN10" s="25" t="e">
        <f>AND(#REF!,"AAAAAG6vHic=")</f>
        <v>#REF!</v>
      </c>
      <c r="AO10" s="25" t="e">
        <f>AND(#REF!,"AAAAAG6vHig=")</f>
        <v>#REF!</v>
      </c>
      <c r="AP10" s="25" t="e">
        <f>AND(#REF!,"AAAAAG6vHik=")</f>
        <v>#REF!</v>
      </c>
      <c r="AQ10" s="25" t="e">
        <f>AND(#REF!,"AAAAAG6vHio=")</f>
        <v>#REF!</v>
      </c>
      <c r="AR10" s="25" t="e">
        <f>AND(#REF!,"AAAAAG6vHis=")</f>
        <v>#REF!</v>
      </c>
      <c r="AS10" s="25" t="e">
        <f>AND(#REF!,"AAAAAG6vHiw=")</f>
        <v>#REF!</v>
      </c>
      <c r="AT10" s="25" t="e">
        <f>AND(#REF!,"AAAAAG6vHi0=")</f>
        <v>#REF!</v>
      </c>
      <c r="AU10" s="25" t="e">
        <f>AND(#REF!,"AAAAAG6vHi4=")</f>
        <v>#REF!</v>
      </c>
      <c r="AV10" s="25" t="e">
        <f>AND(#REF!,"AAAAAG6vHi8=")</f>
        <v>#REF!</v>
      </c>
      <c r="AW10" s="25" t="e">
        <f>AND(#REF!,"AAAAAG6vHjA=")</f>
        <v>#REF!</v>
      </c>
      <c r="AX10" s="25" t="e">
        <f>AND(#REF!,"AAAAAG6vHjE=")</f>
        <v>#REF!</v>
      </c>
      <c r="AY10" s="25" t="e">
        <f>IF(#REF!,"AAAAAG6vHjI=",0)</f>
        <v>#REF!</v>
      </c>
      <c r="AZ10" s="25" t="e">
        <f>AND(#REF!,"AAAAAG6vHjM=")</f>
        <v>#REF!</v>
      </c>
      <c r="BA10" s="25" t="e">
        <f>AND(#REF!,"AAAAAG6vHjQ=")</f>
        <v>#REF!</v>
      </c>
      <c r="BB10" s="25" t="e">
        <f>AND(#REF!,"AAAAAG6vHjU=")</f>
        <v>#REF!</v>
      </c>
      <c r="BC10" s="25" t="e">
        <f>AND(#REF!,"AAAAAG6vHjY=")</f>
        <v>#REF!</v>
      </c>
      <c r="BD10" s="25" t="e">
        <f>AND(#REF!,"AAAAAG6vHjc=")</f>
        <v>#REF!</v>
      </c>
      <c r="BE10" s="25" t="e">
        <f>AND(#REF!,"AAAAAG6vHjg=")</f>
        <v>#REF!</v>
      </c>
      <c r="BF10" s="25" t="e">
        <f>AND(#REF!,"AAAAAG6vHjk=")</f>
        <v>#REF!</v>
      </c>
      <c r="BG10" s="25" t="e">
        <f>AND(#REF!,"AAAAAG6vHjo=")</f>
        <v>#REF!</v>
      </c>
      <c r="BH10" s="25" t="e">
        <f>AND(#REF!,"AAAAAG6vHjs=")</f>
        <v>#REF!</v>
      </c>
      <c r="BI10" s="25" t="e">
        <f>AND(#REF!,"AAAAAG6vHjw=")</f>
        <v>#REF!</v>
      </c>
      <c r="BJ10" s="25" t="e">
        <f>AND(#REF!,"AAAAAG6vHj0=")</f>
        <v>#REF!</v>
      </c>
      <c r="BK10" s="25" t="e">
        <f>AND(#REF!,"AAAAAG6vHj4=")</f>
        <v>#REF!</v>
      </c>
      <c r="BL10" s="25" t="e">
        <f>AND(#REF!,"AAAAAG6vHj8=")</f>
        <v>#REF!</v>
      </c>
      <c r="BM10" s="25" t="e">
        <f>AND(#REF!,"AAAAAG6vHkA=")</f>
        <v>#REF!</v>
      </c>
      <c r="BN10" s="25" t="e">
        <f>AND(#REF!,"AAAAAG6vHkE=")</f>
        <v>#REF!</v>
      </c>
      <c r="BO10" s="25" t="e">
        <f>AND(#REF!,"AAAAAG6vHkI=")</f>
        <v>#REF!</v>
      </c>
      <c r="BP10" s="25" t="e">
        <f>AND(#REF!,"AAAAAG6vHkM=")</f>
        <v>#REF!</v>
      </c>
      <c r="BQ10" s="25" t="e">
        <f>AND(#REF!,"AAAAAG6vHkQ=")</f>
        <v>#REF!</v>
      </c>
      <c r="BR10" s="25" t="e">
        <f>AND(#REF!,"AAAAAG6vHkU=")</f>
        <v>#REF!</v>
      </c>
      <c r="BS10" s="25" t="e">
        <f>AND(#REF!,"AAAAAG6vHkY=")</f>
        <v>#REF!</v>
      </c>
      <c r="BT10" s="25" t="e">
        <f>AND(#REF!,"AAAAAG6vHkc=")</f>
        <v>#REF!</v>
      </c>
      <c r="BU10" s="25" t="e">
        <f>IF(#REF!,"AAAAAG6vHkg=",0)</f>
        <v>#REF!</v>
      </c>
      <c r="BV10" s="25" t="e">
        <f>AND(#REF!,"AAAAAG6vHkk=")</f>
        <v>#REF!</v>
      </c>
      <c r="BW10" s="25" t="e">
        <f>AND(#REF!,"AAAAAG6vHko=")</f>
        <v>#REF!</v>
      </c>
      <c r="BX10" s="25" t="e">
        <f>AND(#REF!,"AAAAAG6vHks=")</f>
        <v>#REF!</v>
      </c>
      <c r="BY10" s="25" t="e">
        <f>AND(#REF!,"AAAAAG6vHkw=")</f>
        <v>#REF!</v>
      </c>
      <c r="BZ10" s="25" t="e">
        <f>AND(#REF!,"AAAAAG6vHk0=")</f>
        <v>#REF!</v>
      </c>
      <c r="CA10" s="25" t="e">
        <f>AND(#REF!,"AAAAAG6vHk4=")</f>
        <v>#REF!</v>
      </c>
      <c r="CB10" s="25" t="e">
        <f>AND(#REF!,"AAAAAG6vHk8=")</f>
        <v>#REF!</v>
      </c>
      <c r="CC10" s="25" t="e">
        <f>AND(#REF!,"AAAAAG6vHlA=")</f>
        <v>#REF!</v>
      </c>
      <c r="CD10" s="25" t="e">
        <f>AND(#REF!,"AAAAAG6vHlE=")</f>
        <v>#REF!</v>
      </c>
      <c r="CE10" s="25" t="e">
        <f>AND(#REF!,"AAAAAG6vHlI=")</f>
        <v>#REF!</v>
      </c>
      <c r="CF10" s="25" t="e">
        <f>AND(#REF!,"AAAAAG6vHlM=")</f>
        <v>#REF!</v>
      </c>
      <c r="CG10" s="25" t="e">
        <f>AND(#REF!,"AAAAAG6vHlQ=")</f>
        <v>#REF!</v>
      </c>
      <c r="CH10" s="25" t="e">
        <f>AND(#REF!,"AAAAAG6vHlU=")</f>
        <v>#REF!</v>
      </c>
      <c r="CI10" s="25" t="e">
        <f>AND(#REF!,"AAAAAG6vHlY=")</f>
        <v>#REF!</v>
      </c>
      <c r="CJ10" s="25" t="e">
        <f>AND(#REF!,"AAAAAG6vHlc=")</f>
        <v>#REF!</v>
      </c>
      <c r="CK10" s="25" t="e">
        <f>AND(#REF!,"AAAAAG6vHlg=")</f>
        <v>#REF!</v>
      </c>
      <c r="CL10" s="25" t="e">
        <f>AND(#REF!,"AAAAAG6vHlk=")</f>
        <v>#REF!</v>
      </c>
      <c r="CM10" s="25" t="e">
        <f>AND(#REF!,"AAAAAG6vHlo=")</f>
        <v>#REF!</v>
      </c>
      <c r="CN10" s="25" t="e">
        <f>AND(#REF!,"AAAAAG6vHls=")</f>
        <v>#REF!</v>
      </c>
      <c r="CO10" s="25" t="e">
        <f>AND(#REF!,"AAAAAG6vHlw=")</f>
        <v>#REF!</v>
      </c>
      <c r="CP10" s="25" t="e">
        <f>AND(#REF!,"AAAAAG6vHl0=")</f>
        <v>#REF!</v>
      </c>
      <c r="CQ10" s="25" t="e">
        <f>IF(#REF!,"AAAAAG6vHl4=",0)</f>
        <v>#REF!</v>
      </c>
      <c r="CR10" s="25" t="e">
        <f>AND(#REF!,"AAAAAG6vHl8=")</f>
        <v>#REF!</v>
      </c>
      <c r="CS10" s="25" t="e">
        <f>AND(#REF!,"AAAAAG6vHmA=")</f>
        <v>#REF!</v>
      </c>
      <c r="CT10" s="25" t="e">
        <f>AND(#REF!,"AAAAAG6vHmE=")</f>
        <v>#REF!</v>
      </c>
      <c r="CU10" s="25" t="e">
        <f>AND(#REF!,"AAAAAG6vHmI=")</f>
        <v>#REF!</v>
      </c>
      <c r="CV10" s="25" t="e">
        <f>AND(#REF!,"AAAAAG6vHmM=")</f>
        <v>#REF!</v>
      </c>
      <c r="CW10" s="25" t="e">
        <f>AND(#REF!,"AAAAAG6vHmQ=")</f>
        <v>#REF!</v>
      </c>
      <c r="CX10" s="25" t="e">
        <f>AND(#REF!,"AAAAAG6vHmU=")</f>
        <v>#REF!</v>
      </c>
      <c r="CY10" s="25" t="e">
        <f>AND(#REF!,"AAAAAG6vHmY=")</f>
        <v>#REF!</v>
      </c>
      <c r="CZ10" s="25" t="e">
        <f>AND(#REF!,"AAAAAG6vHmc=")</f>
        <v>#REF!</v>
      </c>
      <c r="DA10" s="25" t="e">
        <f>AND(#REF!,"AAAAAG6vHmg=")</f>
        <v>#REF!</v>
      </c>
      <c r="DB10" s="25" t="e">
        <f>AND(#REF!,"AAAAAG6vHmk=")</f>
        <v>#REF!</v>
      </c>
      <c r="DC10" s="25" t="e">
        <f>AND(#REF!,"AAAAAG6vHmo=")</f>
        <v>#REF!</v>
      </c>
      <c r="DD10" s="25" t="e">
        <f>AND(#REF!,"AAAAAG6vHms=")</f>
        <v>#REF!</v>
      </c>
      <c r="DE10" s="25" t="e">
        <f>AND(#REF!,"AAAAAG6vHmw=")</f>
        <v>#REF!</v>
      </c>
      <c r="DF10" s="25" t="e">
        <f>AND(#REF!,"AAAAAG6vHm0=")</f>
        <v>#REF!</v>
      </c>
      <c r="DG10" s="25" t="e">
        <f>AND(#REF!,"AAAAAG6vHm4=")</f>
        <v>#REF!</v>
      </c>
      <c r="DH10" s="25" t="e">
        <f>AND(#REF!,"AAAAAG6vHm8=")</f>
        <v>#REF!</v>
      </c>
      <c r="DI10" s="25" t="e">
        <f>AND(#REF!,"AAAAAG6vHnA=")</f>
        <v>#REF!</v>
      </c>
      <c r="DJ10" s="25" t="e">
        <f>AND(#REF!,"AAAAAG6vHnE=")</f>
        <v>#REF!</v>
      </c>
      <c r="DK10" s="25" t="e">
        <f>AND(#REF!,"AAAAAG6vHnI=")</f>
        <v>#REF!</v>
      </c>
      <c r="DL10" s="25" t="e">
        <f>AND(#REF!,"AAAAAG6vHnM=")</f>
        <v>#REF!</v>
      </c>
      <c r="DM10" s="25" t="e">
        <f>IF(#REF!,"AAAAAG6vHnQ=",0)</f>
        <v>#REF!</v>
      </c>
      <c r="DN10" s="25" t="e">
        <f>AND(#REF!,"AAAAAG6vHnU=")</f>
        <v>#REF!</v>
      </c>
      <c r="DO10" s="25" t="e">
        <f>AND(#REF!,"AAAAAG6vHnY=")</f>
        <v>#REF!</v>
      </c>
      <c r="DP10" s="25" t="e">
        <f>AND(#REF!,"AAAAAG6vHnc=")</f>
        <v>#REF!</v>
      </c>
      <c r="DQ10" s="25" t="e">
        <f>AND(#REF!,"AAAAAG6vHng=")</f>
        <v>#REF!</v>
      </c>
      <c r="DR10" s="25" t="e">
        <f>AND(#REF!,"AAAAAG6vHnk=")</f>
        <v>#REF!</v>
      </c>
      <c r="DS10" s="25" t="e">
        <f>AND(#REF!,"AAAAAG6vHno=")</f>
        <v>#REF!</v>
      </c>
      <c r="DT10" s="25" t="e">
        <f>AND(#REF!,"AAAAAG6vHns=")</f>
        <v>#REF!</v>
      </c>
      <c r="DU10" s="25" t="e">
        <f>AND(#REF!,"AAAAAG6vHnw=")</f>
        <v>#REF!</v>
      </c>
      <c r="DV10" s="25" t="e">
        <f>AND(#REF!,"AAAAAG6vHn0=")</f>
        <v>#REF!</v>
      </c>
      <c r="DW10" s="25" t="e">
        <f>AND(#REF!,"AAAAAG6vHn4=")</f>
        <v>#REF!</v>
      </c>
      <c r="DX10" s="25" t="e">
        <f>AND(#REF!,"AAAAAG6vHn8=")</f>
        <v>#REF!</v>
      </c>
      <c r="DY10" s="25" t="e">
        <f>AND(#REF!,"AAAAAG6vHoA=")</f>
        <v>#REF!</v>
      </c>
      <c r="DZ10" s="25" t="e">
        <f>AND(#REF!,"AAAAAG6vHoE=")</f>
        <v>#REF!</v>
      </c>
      <c r="EA10" s="25" t="e">
        <f>AND(#REF!,"AAAAAG6vHoI=")</f>
        <v>#REF!</v>
      </c>
      <c r="EB10" s="25" t="e">
        <f>AND(#REF!,"AAAAAG6vHoM=")</f>
        <v>#REF!</v>
      </c>
      <c r="EC10" s="25" t="e">
        <f>AND(#REF!,"AAAAAG6vHoQ=")</f>
        <v>#REF!</v>
      </c>
      <c r="ED10" s="25" t="e">
        <f>AND(#REF!,"AAAAAG6vHoU=")</f>
        <v>#REF!</v>
      </c>
      <c r="EE10" s="25" t="e">
        <f>AND(#REF!,"AAAAAG6vHoY=")</f>
        <v>#REF!</v>
      </c>
      <c r="EF10" s="25" t="e">
        <f>AND(#REF!,"AAAAAG6vHoc=")</f>
        <v>#REF!</v>
      </c>
      <c r="EG10" s="25" t="e">
        <f>AND(#REF!,"AAAAAG6vHog=")</f>
        <v>#REF!</v>
      </c>
      <c r="EH10" s="25" t="e">
        <f>AND(#REF!,"AAAAAG6vHok=")</f>
        <v>#REF!</v>
      </c>
      <c r="EI10" s="25" t="e">
        <f>IF(#REF!,"AAAAAG6vHoo=",0)</f>
        <v>#REF!</v>
      </c>
      <c r="EJ10" s="25" t="e">
        <f>AND(#REF!,"AAAAAG6vHos=")</f>
        <v>#REF!</v>
      </c>
      <c r="EK10" s="25" t="e">
        <f>AND(#REF!,"AAAAAG6vHow=")</f>
        <v>#REF!</v>
      </c>
      <c r="EL10" s="25" t="e">
        <f>AND(#REF!,"AAAAAG6vHo0=")</f>
        <v>#REF!</v>
      </c>
      <c r="EM10" s="25" t="e">
        <f>AND(#REF!,"AAAAAG6vHo4=")</f>
        <v>#REF!</v>
      </c>
      <c r="EN10" s="25" t="e">
        <f>AND(#REF!,"AAAAAG6vHo8=")</f>
        <v>#REF!</v>
      </c>
      <c r="EO10" s="25" t="e">
        <f>AND(#REF!,"AAAAAG6vHpA=")</f>
        <v>#REF!</v>
      </c>
      <c r="EP10" s="25" t="e">
        <f>AND(#REF!,"AAAAAG6vHpE=")</f>
        <v>#REF!</v>
      </c>
      <c r="EQ10" s="25" t="e">
        <f>AND(#REF!,"AAAAAG6vHpI=")</f>
        <v>#REF!</v>
      </c>
      <c r="ER10" s="25" t="e">
        <f>AND(#REF!,"AAAAAG6vHpM=")</f>
        <v>#REF!</v>
      </c>
      <c r="ES10" s="25" t="e">
        <f>AND(#REF!,"AAAAAG6vHpQ=")</f>
        <v>#REF!</v>
      </c>
      <c r="ET10" s="25" t="e">
        <f>AND(#REF!,"AAAAAG6vHpU=")</f>
        <v>#REF!</v>
      </c>
      <c r="EU10" s="25" t="e">
        <f>AND(#REF!,"AAAAAG6vHpY=")</f>
        <v>#REF!</v>
      </c>
      <c r="EV10" s="25" t="e">
        <f>AND(#REF!,"AAAAAG6vHpc=")</f>
        <v>#REF!</v>
      </c>
      <c r="EW10" s="25" t="e">
        <f>AND(#REF!,"AAAAAG6vHpg=")</f>
        <v>#REF!</v>
      </c>
      <c r="EX10" s="25" t="e">
        <f>AND(#REF!,"AAAAAG6vHpk=")</f>
        <v>#REF!</v>
      </c>
      <c r="EY10" s="25" t="e">
        <f>AND(#REF!,"AAAAAG6vHpo=")</f>
        <v>#REF!</v>
      </c>
      <c r="EZ10" s="25" t="e">
        <f>AND(#REF!,"AAAAAG6vHps=")</f>
        <v>#REF!</v>
      </c>
      <c r="FA10" s="25" t="e">
        <f>AND(#REF!,"AAAAAG6vHpw=")</f>
        <v>#REF!</v>
      </c>
      <c r="FB10" s="25" t="e">
        <f>AND(#REF!,"AAAAAG6vHp0=")</f>
        <v>#REF!</v>
      </c>
      <c r="FC10" s="25" t="e">
        <f>AND(#REF!,"AAAAAG6vHp4=")</f>
        <v>#REF!</v>
      </c>
      <c r="FD10" s="25" t="e">
        <f>AND(#REF!,"AAAAAG6vHp8=")</f>
        <v>#REF!</v>
      </c>
      <c r="FE10" s="25" t="e">
        <f>IF(#REF!,"AAAAAG6vHqA=",0)</f>
        <v>#REF!</v>
      </c>
      <c r="FF10" s="25" t="e">
        <f>AND(#REF!,"AAAAAG6vHqE=")</f>
        <v>#REF!</v>
      </c>
      <c r="FG10" s="25" t="e">
        <f>AND(#REF!,"AAAAAG6vHqI=")</f>
        <v>#REF!</v>
      </c>
      <c r="FH10" s="25" t="e">
        <f>AND(#REF!,"AAAAAG6vHqM=")</f>
        <v>#REF!</v>
      </c>
      <c r="FI10" s="25" t="e">
        <f>AND(#REF!,"AAAAAG6vHqQ=")</f>
        <v>#REF!</v>
      </c>
      <c r="FJ10" s="25" t="e">
        <f>AND(#REF!,"AAAAAG6vHqU=")</f>
        <v>#REF!</v>
      </c>
      <c r="FK10" s="25" t="e">
        <f>AND(#REF!,"AAAAAG6vHqY=")</f>
        <v>#REF!</v>
      </c>
      <c r="FL10" s="25" t="e">
        <f>AND(#REF!,"AAAAAG6vHqc=")</f>
        <v>#REF!</v>
      </c>
      <c r="FM10" s="25" t="e">
        <f>AND(#REF!,"AAAAAG6vHqg=")</f>
        <v>#REF!</v>
      </c>
      <c r="FN10" s="25" t="e">
        <f>AND(#REF!,"AAAAAG6vHqk=")</f>
        <v>#REF!</v>
      </c>
      <c r="FO10" s="25" t="e">
        <f>AND(#REF!,"AAAAAG6vHqo=")</f>
        <v>#REF!</v>
      </c>
      <c r="FP10" s="25" t="e">
        <f>AND(#REF!,"AAAAAG6vHqs=")</f>
        <v>#REF!</v>
      </c>
      <c r="FQ10" s="25" t="e">
        <f>AND(#REF!,"AAAAAG6vHqw=")</f>
        <v>#REF!</v>
      </c>
      <c r="FR10" s="25" t="e">
        <f>AND(#REF!,"AAAAAG6vHq0=")</f>
        <v>#REF!</v>
      </c>
      <c r="FS10" s="25" t="e">
        <f>AND(#REF!,"AAAAAG6vHq4=")</f>
        <v>#REF!</v>
      </c>
      <c r="FT10" s="25" t="e">
        <f>AND(#REF!,"AAAAAG6vHq8=")</f>
        <v>#REF!</v>
      </c>
      <c r="FU10" s="25" t="e">
        <f>AND(#REF!,"AAAAAG6vHrA=")</f>
        <v>#REF!</v>
      </c>
      <c r="FV10" s="25" t="e">
        <f>AND(#REF!,"AAAAAG6vHrE=")</f>
        <v>#REF!</v>
      </c>
      <c r="FW10" s="25" t="e">
        <f>AND(#REF!,"AAAAAG6vHrI=")</f>
        <v>#REF!</v>
      </c>
      <c r="FX10" s="25" t="e">
        <f>AND(#REF!,"AAAAAG6vHrM=")</f>
        <v>#REF!</v>
      </c>
      <c r="FY10" s="25" t="e">
        <f>AND(#REF!,"AAAAAG6vHrQ=")</f>
        <v>#REF!</v>
      </c>
      <c r="FZ10" s="25" t="e">
        <f>AND(#REF!,"AAAAAG6vHrU=")</f>
        <v>#REF!</v>
      </c>
      <c r="GA10" s="25" t="e">
        <f>IF(#REF!,"AAAAAG6vHrY=",0)</f>
        <v>#REF!</v>
      </c>
      <c r="GB10" s="25" t="e">
        <f>AND(#REF!,"AAAAAG6vHrc=")</f>
        <v>#REF!</v>
      </c>
      <c r="GC10" s="25" t="e">
        <f>AND(#REF!,"AAAAAG6vHrg=")</f>
        <v>#REF!</v>
      </c>
      <c r="GD10" s="25" t="e">
        <f>AND(#REF!,"AAAAAG6vHrk=")</f>
        <v>#REF!</v>
      </c>
      <c r="GE10" s="25" t="e">
        <f>AND(#REF!,"AAAAAG6vHro=")</f>
        <v>#REF!</v>
      </c>
      <c r="GF10" s="25" t="e">
        <f>AND(#REF!,"AAAAAG6vHrs=")</f>
        <v>#REF!</v>
      </c>
      <c r="GG10" s="25" t="e">
        <f>AND(#REF!,"AAAAAG6vHrw=")</f>
        <v>#REF!</v>
      </c>
      <c r="GH10" s="25" t="e">
        <f>AND(#REF!,"AAAAAG6vHr0=")</f>
        <v>#REF!</v>
      </c>
      <c r="GI10" s="25" t="e">
        <f>AND(#REF!,"AAAAAG6vHr4=")</f>
        <v>#REF!</v>
      </c>
      <c r="GJ10" s="25" t="e">
        <f>AND(#REF!,"AAAAAG6vHr8=")</f>
        <v>#REF!</v>
      </c>
      <c r="GK10" s="25" t="e">
        <f>AND(#REF!,"AAAAAG6vHsA=")</f>
        <v>#REF!</v>
      </c>
      <c r="GL10" s="25" t="e">
        <f>AND(#REF!,"AAAAAG6vHsE=")</f>
        <v>#REF!</v>
      </c>
      <c r="GM10" s="25" t="e">
        <f>AND(#REF!,"AAAAAG6vHsI=")</f>
        <v>#REF!</v>
      </c>
      <c r="GN10" s="25" t="e">
        <f>AND(#REF!,"AAAAAG6vHsM=")</f>
        <v>#REF!</v>
      </c>
      <c r="GO10" s="25" t="e">
        <f>AND(#REF!,"AAAAAG6vHsQ=")</f>
        <v>#REF!</v>
      </c>
      <c r="GP10" s="25" t="e">
        <f>AND(#REF!,"AAAAAG6vHsU=")</f>
        <v>#REF!</v>
      </c>
      <c r="GQ10" s="25" t="e">
        <f>AND(#REF!,"AAAAAG6vHsY=")</f>
        <v>#REF!</v>
      </c>
      <c r="GR10" s="25" t="e">
        <f>AND(#REF!,"AAAAAG6vHsc=")</f>
        <v>#REF!</v>
      </c>
      <c r="GS10" s="25" t="e">
        <f>AND(#REF!,"AAAAAG6vHsg=")</f>
        <v>#REF!</v>
      </c>
      <c r="GT10" s="25" t="e">
        <f>AND(#REF!,"AAAAAG6vHsk=")</f>
        <v>#REF!</v>
      </c>
      <c r="GU10" s="25" t="e">
        <f>AND(#REF!,"AAAAAG6vHso=")</f>
        <v>#REF!</v>
      </c>
      <c r="GV10" s="25" t="e">
        <f>AND(#REF!,"AAAAAG6vHss=")</f>
        <v>#REF!</v>
      </c>
      <c r="GW10" s="25" t="e">
        <f>IF(#REF!,"AAAAAG6vHsw=",0)</f>
        <v>#REF!</v>
      </c>
      <c r="GX10" s="25" t="e">
        <f>AND(#REF!,"AAAAAG6vHs0=")</f>
        <v>#REF!</v>
      </c>
      <c r="GY10" s="25" t="e">
        <f>AND(#REF!,"AAAAAG6vHs4=")</f>
        <v>#REF!</v>
      </c>
      <c r="GZ10" s="25" t="e">
        <f>AND(#REF!,"AAAAAG6vHs8=")</f>
        <v>#REF!</v>
      </c>
      <c r="HA10" s="25" t="e">
        <f>AND(#REF!,"AAAAAG6vHtA=")</f>
        <v>#REF!</v>
      </c>
      <c r="HB10" s="25" t="e">
        <f>AND(#REF!,"AAAAAG6vHtE=")</f>
        <v>#REF!</v>
      </c>
      <c r="HC10" s="25" t="e">
        <f>AND(#REF!,"AAAAAG6vHtI=")</f>
        <v>#REF!</v>
      </c>
      <c r="HD10" s="25" t="e">
        <f>AND(#REF!,"AAAAAG6vHtM=")</f>
        <v>#REF!</v>
      </c>
      <c r="HE10" s="25" t="e">
        <f>AND(#REF!,"AAAAAG6vHtQ=")</f>
        <v>#REF!</v>
      </c>
      <c r="HF10" s="25" t="e">
        <f>AND(#REF!,"AAAAAG6vHtU=")</f>
        <v>#REF!</v>
      </c>
      <c r="HG10" s="25" t="e">
        <f>AND(#REF!,"AAAAAG6vHtY=")</f>
        <v>#REF!</v>
      </c>
      <c r="HH10" s="25" t="e">
        <f>AND(#REF!,"AAAAAG6vHtc=")</f>
        <v>#REF!</v>
      </c>
      <c r="HI10" s="25" t="e">
        <f>AND(#REF!,"AAAAAG6vHtg=")</f>
        <v>#REF!</v>
      </c>
      <c r="HJ10" s="25" t="e">
        <f>AND(#REF!,"AAAAAG6vHtk=")</f>
        <v>#REF!</v>
      </c>
      <c r="HK10" s="25" t="e">
        <f>AND(#REF!,"AAAAAG6vHto=")</f>
        <v>#REF!</v>
      </c>
      <c r="HL10" s="25" t="e">
        <f>AND(#REF!,"AAAAAG6vHts=")</f>
        <v>#REF!</v>
      </c>
      <c r="HM10" s="25" t="e">
        <f>AND(#REF!,"AAAAAG6vHtw=")</f>
        <v>#REF!</v>
      </c>
      <c r="HN10" s="25" t="e">
        <f>AND(#REF!,"AAAAAG6vHt0=")</f>
        <v>#REF!</v>
      </c>
      <c r="HO10" s="25" t="e">
        <f>AND(#REF!,"AAAAAG6vHt4=")</f>
        <v>#REF!</v>
      </c>
      <c r="HP10" s="25" t="e">
        <f>AND(#REF!,"AAAAAG6vHt8=")</f>
        <v>#REF!</v>
      </c>
      <c r="HQ10" s="25" t="e">
        <f>AND(#REF!,"AAAAAG6vHuA=")</f>
        <v>#REF!</v>
      </c>
      <c r="HR10" s="25" t="e">
        <f>AND(#REF!,"AAAAAG6vHuE=")</f>
        <v>#REF!</v>
      </c>
      <c r="HS10" s="25" t="e">
        <f>IF(#REF!,"AAAAAG6vHuI=",0)</f>
        <v>#REF!</v>
      </c>
      <c r="HT10" s="25" t="e">
        <f>AND(#REF!,"AAAAAG6vHuM=")</f>
        <v>#REF!</v>
      </c>
      <c r="HU10" s="25" t="e">
        <f>AND(#REF!,"AAAAAG6vHuQ=")</f>
        <v>#REF!</v>
      </c>
      <c r="HV10" s="25" t="e">
        <f>AND(#REF!,"AAAAAG6vHuU=")</f>
        <v>#REF!</v>
      </c>
      <c r="HW10" s="25" t="e">
        <f>AND(#REF!,"AAAAAG6vHuY=")</f>
        <v>#REF!</v>
      </c>
      <c r="HX10" s="25" t="e">
        <f>AND(#REF!,"AAAAAG6vHuc=")</f>
        <v>#REF!</v>
      </c>
      <c r="HY10" s="25" t="e">
        <f>AND(#REF!,"AAAAAG6vHug=")</f>
        <v>#REF!</v>
      </c>
      <c r="HZ10" s="25" t="e">
        <f>AND(#REF!,"AAAAAG6vHuk=")</f>
        <v>#REF!</v>
      </c>
      <c r="IA10" s="25" t="e">
        <f>AND(#REF!,"AAAAAG6vHuo=")</f>
        <v>#REF!</v>
      </c>
      <c r="IB10" s="25" t="e">
        <f>AND(#REF!,"AAAAAG6vHus=")</f>
        <v>#REF!</v>
      </c>
      <c r="IC10" s="25" t="e">
        <f>AND(#REF!,"AAAAAG6vHuw=")</f>
        <v>#REF!</v>
      </c>
      <c r="ID10" s="25" t="e">
        <f>AND(#REF!,"AAAAAG6vHu0=")</f>
        <v>#REF!</v>
      </c>
      <c r="IE10" s="25" t="e">
        <f>AND(#REF!,"AAAAAG6vHu4=")</f>
        <v>#REF!</v>
      </c>
      <c r="IF10" s="25" t="e">
        <f>AND(#REF!,"AAAAAG6vHu8=")</f>
        <v>#REF!</v>
      </c>
      <c r="IG10" s="25" t="e">
        <f>AND(#REF!,"AAAAAG6vHvA=")</f>
        <v>#REF!</v>
      </c>
      <c r="IH10" s="25" t="e">
        <f>AND(#REF!,"AAAAAG6vHvE=")</f>
        <v>#REF!</v>
      </c>
      <c r="II10" s="25" t="e">
        <f>AND(#REF!,"AAAAAG6vHvI=")</f>
        <v>#REF!</v>
      </c>
      <c r="IJ10" s="25" t="e">
        <f>AND(#REF!,"AAAAAG6vHvM=")</f>
        <v>#REF!</v>
      </c>
      <c r="IK10" s="25" t="e">
        <f>AND(#REF!,"AAAAAG6vHvQ=")</f>
        <v>#REF!</v>
      </c>
      <c r="IL10" s="25" t="e">
        <f>AND(#REF!,"AAAAAG6vHvU=")</f>
        <v>#REF!</v>
      </c>
      <c r="IM10" s="25" t="e">
        <f>AND(#REF!,"AAAAAG6vHvY=")</f>
        <v>#REF!</v>
      </c>
      <c r="IN10" s="25" t="e">
        <f>AND(#REF!,"AAAAAG6vHvc=")</f>
        <v>#REF!</v>
      </c>
      <c r="IO10" s="25" t="e">
        <f>IF(#REF!,"AAAAAG6vHvg=",0)</f>
        <v>#REF!</v>
      </c>
      <c r="IP10" s="25" t="e">
        <f>AND(#REF!,"AAAAAG6vHvk=")</f>
        <v>#REF!</v>
      </c>
      <c r="IQ10" s="25" t="e">
        <f>AND(#REF!,"AAAAAG6vHvo=")</f>
        <v>#REF!</v>
      </c>
      <c r="IR10" s="25" t="e">
        <f>AND(#REF!,"AAAAAG6vHvs=")</f>
        <v>#REF!</v>
      </c>
      <c r="IS10" s="25" t="e">
        <f>AND(#REF!,"AAAAAG6vHvw=")</f>
        <v>#REF!</v>
      </c>
      <c r="IT10" s="25" t="e">
        <f>AND(#REF!,"AAAAAG6vHv0=")</f>
        <v>#REF!</v>
      </c>
      <c r="IU10" s="25" t="e">
        <f>AND(#REF!,"AAAAAG6vHv4=")</f>
        <v>#REF!</v>
      </c>
      <c r="IV10" s="25" t="e">
        <f>AND(#REF!,"AAAAAG6vHv8=")</f>
        <v>#REF!</v>
      </c>
    </row>
    <row r="11" spans="1:256" ht="12.75" customHeight="1" x14ac:dyDescent="0.2">
      <c r="A11" s="25" t="e">
        <f>AND(#REF!,"AAAAAH/s9wA=")</f>
        <v>#REF!</v>
      </c>
      <c r="B11" s="25" t="e">
        <f>AND(#REF!,"AAAAAH/s9wE=")</f>
        <v>#REF!</v>
      </c>
      <c r="C11" s="25" t="e">
        <f>AND(#REF!,"AAAAAH/s9wI=")</f>
        <v>#REF!</v>
      </c>
      <c r="D11" s="25" t="e">
        <f>AND(#REF!,"AAAAAH/s9wM=")</f>
        <v>#REF!</v>
      </c>
      <c r="E11" s="25" t="e">
        <f>AND(#REF!,"AAAAAH/s9wQ=")</f>
        <v>#REF!</v>
      </c>
      <c r="F11" s="25" t="e">
        <f>AND(#REF!,"AAAAAH/s9wU=")</f>
        <v>#REF!</v>
      </c>
      <c r="G11" s="25" t="e">
        <f>AND(#REF!,"AAAAAH/s9wY=")</f>
        <v>#REF!</v>
      </c>
      <c r="H11" s="25" t="e">
        <f>AND(#REF!,"AAAAAH/s9wc=")</f>
        <v>#REF!</v>
      </c>
      <c r="I11" s="25" t="e">
        <f>AND(#REF!,"AAAAAH/s9wg=")</f>
        <v>#REF!</v>
      </c>
      <c r="J11" s="25" t="e">
        <f>AND(#REF!,"AAAAAH/s9wk=")</f>
        <v>#REF!</v>
      </c>
      <c r="K11" s="25" t="e">
        <f>AND(#REF!,"AAAAAH/s9wo=")</f>
        <v>#REF!</v>
      </c>
      <c r="L11" s="25" t="e">
        <f>AND(#REF!,"AAAAAH/s9ws=")</f>
        <v>#REF!</v>
      </c>
      <c r="M11" s="25" t="e">
        <f>AND(#REF!,"AAAAAH/s9ww=")</f>
        <v>#REF!</v>
      </c>
      <c r="N11" s="25" t="e">
        <f>AND(#REF!,"AAAAAH/s9w0=")</f>
        <v>#REF!</v>
      </c>
      <c r="O11" s="25" t="e">
        <f>IF(#REF!,"AAAAAH/s9w4=",0)</f>
        <v>#REF!</v>
      </c>
      <c r="P11" s="25" t="e">
        <f>AND(#REF!,"AAAAAH/s9w8=")</f>
        <v>#REF!</v>
      </c>
      <c r="Q11" s="25" t="e">
        <f>AND(#REF!,"AAAAAH/s9xA=")</f>
        <v>#REF!</v>
      </c>
      <c r="R11" s="25" t="e">
        <f>AND(#REF!,"AAAAAH/s9xE=")</f>
        <v>#REF!</v>
      </c>
      <c r="S11" s="25" t="e">
        <f>AND(#REF!,"AAAAAH/s9xI=")</f>
        <v>#REF!</v>
      </c>
      <c r="T11" s="25" t="e">
        <f>AND(#REF!,"AAAAAH/s9xM=")</f>
        <v>#REF!</v>
      </c>
      <c r="U11" s="25" t="e">
        <f>AND(#REF!,"AAAAAH/s9xQ=")</f>
        <v>#REF!</v>
      </c>
      <c r="V11" s="25" t="e">
        <f>AND(#REF!,"AAAAAH/s9xU=")</f>
        <v>#REF!</v>
      </c>
      <c r="W11" s="25" t="e">
        <f>AND(#REF!,"AAAAAH/s9xY=")</f>
        <v>#REF!</v>
      </c>
      <c r="X11" s="25" t="e">
        <f>AND(#REF!,"AAAAAH/s9xc=")</f>
        <v>#REF!</v>
      </c>
      <c r="Y11" s="25" t="e">
        <f>AND(#REF!,"AAAAAH/s9xg=")</f>
        <v>#REF!</v>
      </c>
      <c r="Z11" s="25" t="e">
        <f>AND(#REF!,"AAAAAH/s9xk=")</f>
        <v>#REF!</v>
      </c>
      <c r="AA11" s="25" t="e">
        <f>AND(#REF!,"AAAAAH/s9xo=")</f>
        <v>#REF!</v>
      </c>
      <c r="AB11" s="25" t="e">
        <f>AND(#REF!,"AAAAAH/s9xs=")</f>
        <v>#REF!</v>
      </c>
      <c r="AC11" s="25" t="e">
        <f>AND(#REF!,"AAAAAH/s9xw=")</f>
        <v>#REF!</v>
      </c>
      <c r="AD11" s="25" t="e">
        <f>AND(#REF!,"AAAAAH/s9x0=")</f>
        <v>#REF!</v>
      </c>
      <c r="AE11" s="25" t="e">
        <f>AND(#REF!,"AAAAAH/s9x4=")</f>
        <v>#REF!</v>
      </c>
      <c r="AF11" s="25" t="e">
        <f>AND(#REF!,"AAAAAH/s9x8=")</f>
        <v>#REF!</v>
      </c>
      <c r="AG11" s="25" t="e">
        <f>AND(#REF!,"AAAAAH/s9yA=")</f>
        <v>#REF!</v>
      </c>
      <c r="AH11" s="25" t="e">
        <f>AND(#REF!,"AAAAAH/s9yE=")</f>
        <v>#REF!</v>
      </c>
      <c r="AI11" s="25" t="e">
        <f>AND(#REF!,"AAAAAH/s9yI=")</f>
        <v>#REF!</v>
      </c>
      <c r="AJ11" s="25" t="e">
        <f>AND(#REF!,"AAAAAH/s9yM=")</f>
        <v>#REF!</v>
      </c>
      <c r="AK11" s="25" t="e">
        <f>IF(#REF!,"AAAAAH/s9yQ=",0)</f>
        <v>#REF!</v>
      </c>
      <c r="AL11" s="25" t="e">
        <f>AND(#REF!,"AAAAAH/s9yU=")</f>
        <v>#REF!</v>
      </c>
      <c r="AM11" s="25" t="e">
        <f>AND(#REF!,"AAAAAH/s9yY=")</f>
        <v>#REF!</v>
      </c>
      <c r="AN11" s="25" t="e">
        <f>AND(#REF!,"AAAAAH/s9yc=")</f>
        <v>#REF!</v>
      </c>
      <c r="AO11" s="25" t="e">
        <f>AND(#REF!,"AAAAAH/s9yg=")</f>
        <v>#REF!</v>
      </c>
      <c r="AP11" s="25" t="e">
        <f>AND(#REF!,"AAAAAH/s9yk=")</f>
        <v>#REF!</v>
      </c>
      <c r="AQ11" s="25" t="e">
        <f>AND(#REF!,"AAAAAH/s9yo=")</f>
        <v>#REF!</v>
      </c>
      <c r="AR11" s="25" t="e">
        <f>AND(#REF!,"AAAAAH/s9ys=")</f>
        <v>#REF!</v>
      </c>
      <c r="AS11" s="25" t="e">
        <f>AND(#REF!,"AAAAAH/s9yw=")</f>
        <v>#REF!</v>
      </c>
      <c r="AT11" s="25" t="e">
        <f>AND(#REF!,"AAAAAH/s9y0=")</f>
        <v>#REF!</v>
      </c>
      <c r="AU11" s="25" t="e">
        <f>AND(#REF!,"AAAAAH/s9y4=")</f>
        <v>#REF!</v>
      </c>
      <c r="AV11" s="25" t="e">
        <f>AND(#REF!,"AAAAAH/s9y8=")</f>
        <v>#REF!</v>
      </c>
      <c r="AW11" s="25" t="e">
        <f>AND(#REF!,"AAAAAH/s9zA=")</f>
        <v>#REF!</v>
      </c>
      <c r="AX11" s="25" t="e">
        <f>AND(#REF!,"AAAAAH/s9zE=")</f>
        <v>#REF!</v>
      </c>
      <c r="AY11" s="25" t="e">
        <f>AND(#REF!,"AAAAAH/s9zI=")</f>
        <v>#REF!</v>
      </c>
      <c r="AZ11" s="25" t="e">
        <f>AND(#REF!,"AAAAAH/s9zM=")</f>
        <v>#REF!</v>
      </c>
      <c r="BA11" s="25" t="e">
        <f>AND(#REF!,"AAAAAH/s9zQ=")</f>
        <v>#REF!</v>
      </c>
      <c r="BB11" s="25" t="e">
        <f>AND(#REF!,"AAAAAH/s9zU=")</f>
        <v>#REF!</v>
      </c>
      <c r="BC11" s="25" t="e">
        <f>AND(#REF!,"AAAAAH/s9zY=")</f>
        <v>#REF!</v>
      </c>
      <c r="BD11" s="25" t="e">
        <f>AND(#REF!,"AAAAAH/s9zc=")</f>
        <v>#REF!</v>
      </c>
      <c r="BE11" s="25" t="e">
        <f>AND(#REF!,"AAAAAH/s9zg=")</f>
        <v>#REF!</v>
      </c>
      <c r="BF11" s="25" t="e">
        <f>AND(#REF!,"AAAAAH/s9zk=")</f>
        <v>#REF!</v>
      </c>
      <c r="BG11" s="25" t="e">
        <f>IF(#REF!,"AAAAAH/s9zo=",0)</f>
        <v>#REF!</v>
      </c>
      <c r="BH11" s="25" t="e">
        <f>AND(#REF!,"AAAAAH/s9zs=")</f>
        <v>#REF!</v>
      </c>
      <c r="BI11" s="25" t="e">
        <f>AND(#REF!,"AAAAAH/s9zw=")</f>
        <v>#REF!</v>
      </c>
      <c r="BJ11" s="25" t="e">
        <f>AND(#REF!,"AAAAAH/s9z0=")</f>
        <v>#REF!</v>
      </c>
      <c r="BK11" s="25" t="e">
        <f>AND(#REF!,"AAAAAH/s9z4=")</f>
        <v>#REF!</v>
      </c>
      <c r="BL11" s="25" t="e">
        <f>AND(#REF!,"AAAAAH/s9z8=")</f>
        <v>#REF!</v>
      </c>
      <c r="BM11" s="25" t="e">
        <f>AND(#REF!,"AAAAAH/s90A=")</f>
        <v>#REF!</v>
      </c>
      <c r="BN11" s="25" t="e">
        <f>AND(#REF!,"AAAAAH/s90E=")</f>
        <v>#REF!</v>
      </c>
      <c r="BO11" s="25" t="e">
        <f>AND(#REF!,"AAAAAH/s90I=")</f>
        <v>#REF!</v>
      </c>
      <c r="BP11" s="25" t="e">
        <f>AND(#REF!,"AAAAAH/s90M=")</f>
        <v>#REF!</v>
      </c>
      <c r="BQ11" s="25" t="e">
        <f>AND(#REF!,"AAAAAH/s90Q=")</f>
        <v>#REF!</v>
      </c>
      <c r="BR11" s="25" t="e">
        <f>AND(#REF!,"AAAAAH/s90U=")</f>
        <v>#REF!</v>
      </c>
      <c r="BS11" s="25" t="e">
        <f>AND(#REF!,"AAAAAH/s90Y=")</f>
        <v>#REF!</v>
      </c>
      <c r="BT11" s="25" t="e">
        <f>AND(#REF!,"AAAAAH/s90c=")</f>
        <v>#REF!</v>
      </c>
      <c r="BU11" s="25" t="e">
        <f>AND(#REF!,"AAAAAH/s90g=")</f>
        <v>#REF!</v>
      </c>
      <c r="BV11" s="25" t="e">
        <f>AND(#REF!,"AAAAAH/s90k=")</f>
        <v>#REF!</v>
      </c>
      <c r="BW11" s="25" t="e">
        <f>AND(#REF!,"AAAAAH/s90o=")</f>
        <v>#REF!</v>
      </c>
      <c r="BX11" s="25" t="e">
        <f>AND(#REF!,"AAAAAH/s90s=")</f>
        <v>#REF!</v>
      </c>
      <c r="BY11" s="25" t="e">
        <f>AND(#REF!,"AAAAAH/s90w=")</f>
        <v>#REF!</v>
      </c>
      <c r="BZ11" s="25" t="e">
        <f>AND(#REF!,"AAAAAH/s900=")</f>
        <v>#REF!</v>
      </c>
      <c r="CA11" s="25" t="e">
        <f>AND(#REF!,"AAAAAH/s904=")</f>
        <v>#REF!</v>
      </c>
      <c r="CB11" s="25" t="e">
        <f>AND(#REF!,"AAAAAH/s908=")</f>
        <v>#REF!</v>
      </c>
      <c r="CC11" s="25" t="e">
        <f>IF(#REF!,"AAAAAH/s91A=",0)</f>
        <v>#REF!</v>
      </c>
      <c r="CD11" s="25" t="e">
        <f>AND(#REF!,"AAAAAH/s91E=")</f>
        <v>#REF!</v>
      </c>
      <c r="CE11" s="25" t="e">
        <f>AND(#REF!,"AAAAAH/s91I=")</f>
        <v>#REF!</v>
      </c>
      <c r="CF11" s="25" t="e">
        <f>AND(#REF!,"AAAAAH/s91M=")</f>
        <v>#REF!</v>
      </c>
      <c r="CG11" s="25" t="e">
        <f>AND(#REF!,"AAAAAH/s91Q=")</f>
        <v>#REF!</v>
      </c>
      <c r="CH11" s="25" t="e">
        <f>AND(#REF!,"AAAAAH/s91U=")</f>
        <v>#REF!</v>
      </c>
      <c r="CI11" s="25" t="e">
        <f>AND(#REF!,"AAAAAH/s91Y=")</f>
        <v>#REF!</v>
      </c>
      <c r="CJ11" s="25" t="e">
        <f>AND(#REF!,"AAAAAH/s91c=")</f>
        <v>#REF!</v>
      </c>
      <c r="CK11" s="25" t="e">
        <f>AND(#REF!,"AAAAAH/s91g=")</f>
        <v>#REF!</v>
      </c>
      <c r="CL11" s="25" t="e">
        <f>AND(#REF!,"AAAAAH/s91k=")</f>
        <v>#REF!</v>
      </c>
      <c r="CM11" s="25" t="e">
        <f>AND(#REF!,"AAAAAH/s91o=")</f>
        <v>#REF!</v>
      </c>
      <c r="CN11" s="25" t="e">
        <f>AND(#REF!,"AAAAAH/s91s=")</f>
        <v>#REF!</v>
      </c>
      <c r="CO11" s="25" t="e">
        <f>AND(#REF!,"AAAAAH/s91w=")</f>
        <v>#REF!</v>
      </c>
      <c r="CP11" s="25" t="e">
        <f>AND(#REF!,"AAAAAH/s910=")</f>
        <v>#REF!</v>
      </c>
      <c r="CQ11" s="25" t="e">
        <f>AND(#REF!,"AAAAAH/s914=")</f>
        <v>#REF!</v>
      </c>
      <c r="CR11" s="25" t="e">
        <f>AND(#REF!,"AAAAAH/s918=")</f>
        <v>#REF!</v>
      </c>
      <c r="CS11" s="25" t="e">
        <f>AND(#REF!,"AAAAAH/s92A=")</f>
        <v>#REF!</v>
      </c>
      <c r="CT11" s="25" t="e">
        <f>AND(#REF!,"AAAAAH/s92E=")</f>
        <v>#REF!</v>
      </c>
      <c r="CU11" s="25" t="e">
        <f>AND(#REF!,"AAAAAH/s92I=")</f>
        <v>#REF!</v>
      </c>
      <c r="CV11" s="25" t="e">
        <f>AND(#REF!,"AAAAAH/s92M=")</f>
        <v>#REF!</v>
      </c>
      <c r="CW11" s="25" t="e">
        <f>AND(#REF!,"AAAAAH/s92Q=")</f>
        <v>#REF!</v>
      </c>
      <c r="CX11" s="25" t="e">
        <f>AND(#REF!,"AAAAAH/s92U=")</f>
        <v>#REF!</v>
      </c>
      <c r="CY11" s="25" t="e">
        <f>IF(#REF!,"AAAAAH/s92Y=",0)</f>
        <v>#REF!</v>
      </c>
      <c r="CZ11" s="25" t="e">
        <f>AND(#REF!,"AAAAAH/s92c=")</f>
        <v>#REF!</v>
      </c>
      <c r="DA11" s="25" t="e">
        <f>AND(#REF!,"AAAAAH/s92g=")</f>
        <v>#REF!</v>
      </c>
      <c r="DB11" s="25" t="e">
        <f>AND(#REF!,"AAAAAH/s92k=")</f>
        <v>#REF!</v>
      </c>
      <c r="DC11" s="25" t="e">
        <f>AND(#REF!,"AAAAAH/s92o=")</f>
        <v>#REF!</v>
      </c>
      <c r="DD11" s="25" t="e">
        <f>AND(#REF!,"AAAAAH/s92s=")</f>
        <v>#REF!</v>
      </c>
      <c r="DE11" s="25" t="e">
        <f>AND(#REF!,"AAAAAH/s92w=")</f>
        <v>#REF!</v>
      </c>
      <c r="DF11" s="25" t="e">
        <f>AND(#REF!,"AAAAAH/s920=")</f>
        <v>#REF!</v>
      </c>
      <c r="DG11" s="25" t="e">
        <f>AND(#REF!,"AAAAAH/s924=")</f>
        <v>#REF!</v>
      </c>
      <c r="DH11" s="25" t="e">
        <f>AND(#REF!,"AAAAAH/s928=")</f>
        <v>#REF!</v>
      </c>
      <c r="DI11" s="25" t="e">
        <f>AND(#REF!,"AAAAAH/s93A=")</f>
        <v>#REF!</v>
      </c>
      <c r="DJ11" s="25" t="e">
        <f>AND(#REF!,"AAAAAH/s93E=")</f>
        <v>#REF!</v>
      </c>
      <c r="DK11" s="25" t="e">
        <f>AND(#REF!,"AAAAAH/s93I=")</f>
        <v>#REF!</v>
      </c>
      <c r="DL11" s="25" t="e">
        <f>AND(#REF!,"AAAAAH/s93M=")</f>
        <v>#REF!</v>
      </c>
      <c r="DM11" s="25" t="e">
        <f>AND(#REF!,"AAAAAH/s93Q=")</f>
        <v>#REF!</v>
      </c>
      <c r="DN11" s="25" t="e">
        <f>AND(#REF!,"AAAAAH/s93U=")</f>
        <v>#REF!</v>
      </c>
      <c r="DO11" s="25" t="e">
        <f>AND(#REF!,"AAAAAH/s93Y=")</f>
        <v>#REF!</v>
      </c>
      <c r="DP11" s="25" t="e">
        <f>AND(#REF!,"AAAAAH/s93c=")</f>
        <v>#REF!</v>
      </c>
      <c r="DQ11" s="25" t="e">
        <f>AND(#REF!,"AAAAAH/s93g=")</f>
        <v>#REF!</v>
      </c>
      <c r="DR11" s="25" t="e">
        <f>AND(#REF!,"AAAAAH/s93k=")</f>
        <v>#REF!</v>
      </c>
      <c r="DS11" s="25" t="e">
        <f>AND(#REF!,"AAAAAH/s93o=")</f>
        <v>#REF!</v>
      </c>
      <c r="DT11" s="25" t="e">
        <f>AND(#REF!,"AAAAAH/s93s=")</f>
        <v>#REF!</v>
      </c>
      <c r="DU11" s="25" t="e">
        <f>IF(#REF!,"AAAAAH/s93w=",0)</f>
        <v>#REF!</v>
      </c>
      <c r="DV11" s="25" t="e">
        <f>AND(#REF!,"AAAAAH/s930=")</f>
        <v>#REF!</v>
      </c>
      <c r="DW11" s="25" t="e">
        <f>AND(#REF!,"AAAAAH/s934=")</f>
        <v>#REF!</v>
      </c>
      <c r="DX11" s="25" t="e">
        <f>AND(#REF!,"AAAAAH/s938=")</f>
        <v>#REF!</v>
      </c>
      <c r="DY11" s="25" t="e">
        <f>AND(#REF!,"AAAAAH/s94A=")</f>
        <v>#REF!</v>
      </c>
      <c r="DZ11" s="25" t="e">
        <f>AND(#REF!,"AAAAAH/s94E=")</f>
        <v>#REF!</v>
      </c>
      <c r="EA11" s="25" t="e">
        <f>AND(#REF!,"AAAAAH/s94I=")</f>
        <v>#REF!</v>
      </c>
      <c r="EB11" s="25" t="e">
        <f>AND(#REF!,"AAAAAH/s94M=")</f>
        <v>#REF!</v>
      </c>
      <c r="EC11" s="25" t="e">
        <f>AND(#REF!,"AAAAAH/s94Q=")</f>
        <v>#REF!</v>
      </c>
      <c r="ED11" s="25" t="e">
        <f>AND(#REF!,"AAAAAH/s94U=")</f>
        <v>#REF!</v>
      </c>
      <c r="EE11" s="25" t="e">
        <f>AND(#REF!,"AAAAAH/s94Y=")</f>
        <v>#REF!</v>
      </c>
      <c r="EF11" s="25" t="e">
        <f>AND(#REF!,"AAAAAH/s94c=")</f>
        <v>#REF!</v>
      </c>
      <c r="EG11" s="25" t="e">
        <f>AND(#REF!,"AAAAAH/s94g=")</f>
        <v>#REF!</v>
      </c>
      <c r="EH11" s="25" t="e">
        <f>AND(#REF!,"AAAAAH/s94k=")</f>
        <v>#REF!</v>
      </c>
      <c r="EI11" s="25" t="e">
        <f>AND(#REF!,"AAAAAH/s94o=")</f>
        <v>#REF!</v>
      </c>
      <c r="EJ11" s="25" t="e">
        <f>AND(#REF!,"AAAAAH/s94s=")</f>
        <v>#REF!</v>
      </c>
      <c r="EK11" s="25" t="e">
        <f>AND(#REF!,"AAAAAH/s94w=")</f>
        <v>#REF!</v>
      </c>
      <c r="EL11" s="25" t="e">
        <f>AND(#REF!,"AAAAAH/s940=")</f>
        <v>#REF!</v>
      </c>
      <c r="EM11" s="25" t="e">
        <f>AND(#REF!,"AAAAAH/s944=")</f>
        <v>#REF!</v>
      </c>
      <c r="EN11" s="25" t="e">
        <f>AND(#REF!,"AAAAAH/s948=")</f>
        <v>#REF!</v>
      </c>
      <c r="EO11" s="25" t="e">
        <f>AND(#REF!,"AAAAAH/s95A=")</f>
        <v>#REF!</v>
      </c>
      <c r="EP11" s="25" t="e">
        <f>AND(#REF!,"AAAAAH/s95E=")</f>
        <v>#REF!</v>
      </c>
      <c r="EQ11" s="25" t="e">
        <f>IF(#REF!,"AAAAAH/s95I=",0)</f>
        <v>#REF!</v>
      </c>
      <c r="ER11" s="25" t="e">
        <f>AND(#REF!,"AAAAAH/s95M=")</f>
        <v>#REF!</v>
      </c>
      <c r="ES11" s="25" t="e">
        <f>AND(#REF!,"AAAAAH/s95Q=")</f>
        <v>#REF!</v>
      </c>
      <c r="ET11" s="25" t="e">
        <f>AND(#REF!,"AAAAAH/s95U=")</f>
        <v>#REF!</v>
      </c>
      <c r="EU11" s="25" t="e">
        <f>AND(#REF!,"AAAAAH/s95Y=")</f>
        <v>#REF!</v>
      </c>
      <c r="EV11" s="25" t="e">
        <f>AND(#REF!,"AAAAAH/s95c=")</f>
        <v>#REF!</v>
      </c>
      <c r="EW11" s="25" t="e">
        <f>AND(#REF!,"AAAAAH/s95g=")</f>
        <v>#REF!</v>
      </c>
      <c r="EX11" s="25" t="e">
        <f>AND(#REF!,"AAAAAH/s95k=")</f>
        <v>#REF!</v>
      </c>
      <c r="EY11" s="25" t="e">
        <f>AND(#REF!,"AAAAAH/s95o=")</f>
        <v>#REF!</v>
      </c>
      <c r="EZ11" s="25" t="e">
        <f>AND(#REF!,"AAAAAH/s95s=")</f>
        <v>#REF!</v>
      </c>
      <c r="FA11" s="25" t="e">
        <f>AND(#REF!,"AAAAAH/s95w=")</f>
        <v>#REF!</v>
      </c>
      <c r="FB11" s="25" t="e">
        <f>AND(#REF!,"AAAAAH/s950=")</f>
        <v>#REF!</v>
      </c>
      <c r="FC11" s="25" t="e">
        <f>AND(#REF!,"AAAAAH/s954=")</f>
        <v>#REF!</v>
      </c>
      <c r="FD11" s="25" t="e">
        <f>AND(#REF!,"AAAAAH/s958=")</f>
        <v>#REF!</v>
      </c>
      <c r="FE11" s="25" t="e">
        <f>AND(#REF!,"AAAAAH/s96A=")</f>
        <v>#REF!</v>
      </c>
      <c r="FF11" s="25" t="e">
        <f>AND(#REF!,"AAAAAH/s96E=")</f>
        <v>#REF!</v>
      </c>
      <c r="FG11" s="25" t="e">
        <f>AND(#REF!,"AAAAAH/s96I=")</f>
        <v>#REF!</v>
      </c>
      <c r="FH11" s="25" t="e">
        <f>AND(#REF!,"AAAAAH/s96M=")</f>
        <v>#REF!</v>
      </c>
      <c r="FI11" s="25" t="e">
        <f>AND(#REF!,"AAAAAH/s96Q=")</f>
        <v>#REF!</v>
      </c>
      <c r="FJ11" s="25" t="e">
        <f>AND(#REF!,"AAAAAH/s96U=")</f>
        <v>#REF!</v>
      </c>
      <c r="FK11" s="25" t="e">
        <f>AND(#REF!,"AAAAAH/s96Y=")</f>
        <v>#REF!</v>
      </c>
      <c r="FL11" s="25" t="e">
        <f>AND(#REF!,"AAAAAH/s96c=")</f>
        <v>#REF!</v>
      </c>
      <c r="FM11" s="25" t="e">
        <f>IF(#REF!,"AAAAAH/s96g=",0)</f>
        <v>#REF!</v>
      </c>
      <c r="FN11" s="25" t="e">
        <f>AND(#REF!,"AAAAAH/s96k=")</f>
        <v>#REF!</v>
      </c>
      <c r="FO11" s="25" t="e">
        <f>AND(#REF!,"AAAAAH/s96o=")</f>
        <v>#REF!</v>
      </c>
      <c r="FP11" s="25" t="e">
        <f>AND(#REF!,"AAAAAH/s96s=")</f>
        <v>#REF!</v>
      </c>
      <c r="FQ11" s="25" t="e">
        <f>AND(#REF!,"AAAAAH/s96w=")</f>
        <v>#REF!</v>
      </c>
      <c r="FR11" s="25" t="e">
        <f>AND(#REF!,"AAAAAH/s960=")</f>
        <v>#REF!</v>
      </c>
      <c r="FS11" s="25" t="e">
        <f>AND(#REF!,"AAAAAH/s964=")</f>
        <v>#REF!</v>
      </c>
      <c r="FT11" s="25" t="e">
        <f>AND(#REF!,"AAAAAH/s968=")</f>
        <v>#REF!</v>
      </c>
      <c r="FU11" s="25" t="e">
        <f>AND(#REF!,"AAAAAH/s97A=")</f>
        <v>#REF!</v>
      </c>
      <c r="FV11" s="25" t="e">
        <f>AND(#REF!,"AAAAAH/s97E=")</f>
        <v>#REF!</v>
      </c>
      <c r="FW11" s="25" t="e">
        <f>AND(#REF!,"AAAAAH/s97I=")</f>
        <v>#REF!</v>
      </c>
      <c r="FX11" s="25" t="e">
        <f>AND(#REF!,"AAAAAH/s97M=")</f>
        <v>#REF!</v>
      </c>
      <c r="FY11" s="25" t="e">
        <f>AND(#REF!,"AAAAAH/s97Q=")</f>
        <v>#REF!</v>
      </c>
      <c r="FZ11" s="25" t="e">
        <f>AND(#REF!,"AAAAAH/s97U=")</f>
        <v>#REF!</v>
      </c>
      <c r="GA11" s="25" t="e">
        <f>AND(#REF!,"AAAAAH/s97Y=")</f>
        <v>#REF!</v>
      </c>
      <c r="GB11" s="25" t="e">
        <f>AND(#REF!,"AAAAAH/s97c=")</f>
        <v>#REF!</v>
      </c>
      <c r="GC11" s="25" t="e">
        <f>AND(#REF!,"AAAAAH/s97g=")</f>
        <v>#REF!</v>
      </c>
      <c r="GD11" s="25" t="e">
        <f>AND(#REF!,"AAAAAH/s97k=")</f>
        <v>#REF!</v>
      </c>
      <c r="GE11" s="25" t="e">
        <f>AND(#REF!,"AAAAAH/s97o=")</f>
        <v>#REF!</v>
      </c>
      <c r="GF11" s="25" t="e">
        <f>AND(#REF!,"AAAAAH/s97s=")</f>
        <v>#REF!</v>
      </c>
      <c r="GG11" s="25" t="e">
        <f>AND(#REF!,"AAAAAH/s97w=")</f>
        <v>#REF!</v>
      </c>
      <c r="GH11" s="25" t="e">
        <f>AND(#REF!,"AAAAAH/s970=")</f>
        <v>#REF!</v>
      </c>
      <c r="GI11" s="25" t="e">
        <f>IF(#REF!,"AAAAAH/s974=",0)</f>
        <v>#REF!</v>
      </c>
      <c r="GJ11" s="25" t="e">
        <f>AND(#REF!,"AAAAAH/s978=")</f>
        <v>#REF!</v>
      </c>
      <c r="GK11" s="25" t="e">
        <f>AND(#REF!,"AAAAAH/s98A=")</f>
        <v>#REF!</v>
      </c>
      <c r="GL11" s="25" t="e">
        <f>AND(#REF!,"AAAAAH/s98E=")</f>
        <v>#REF!</v>
      </c>
      <c r="GM11" s="25" t="e">
        <f>AND(#REF!,"AAAAAH/s98I=")</f>
        <v>#REF!</v>
      </c>
      <c r="GN11" s="25" t="e">
        <f>AND(#REF!,"AAAAAH/s98M=")</f>
        <v>#REF!</v>
      </c>
      <c r="GO11" s="25" t="e">
        <f>AND(#REF!,"AAAAAH/s98Q=")</f>
        <v>#REF!</v>
      </c>
      <c r="GP11" s="25" t="e">
        <f>AND(#REF!,"AAAAAH/s98U=")</f>
        <v>#REF!</v>
      </c>
      <c r="GQ11" s="25" t="e">
        <f>AND(#REF!,"AAAAAH/s98Y=")</f>
        <v>#REF!</v>
      </c>
      <c r="GR11" s="25" t="e">
        <f>AND(#REF!,"AAAAAH/s98c=")</f>
        <v>#REF!</v>
      </c>
      <c r="GS11" s="25" t="e">
        <f>AND(#REF!,"AAAAAH/s98g=")</f>
        <v>#REF!</v>
      </c>
      <c r="GT11" s="25" t="e">
        <f>AND(#REF!,"AAAAAH/s98k=")</f>
        <v>#REF!</v>
      </c>
      <c r="GU11" s="25" t="e">
        <f>AND(#REF!,"AAAAAH/s98o=")</f>
        <v>#REF!</v>
      </c>
      <c r="GV11" s="25" t="e">
        <f>AND(#REF!,"AAAAAH/s98s=")</f>
        <v>#REF!</v>
      </c>
      <c r="GW11" s="25" t="e">
        <f>AND(#REF!,"AAAAAH/s98w=")</f>
        <v>#REF!</v>
      </c>
      <c r="GX11" s="25" t="e">
        <f>AND(#REF!,"AAAAAH/s980=")</f>
        <v>#REF!</v>
      </c>
      <c r="GY11" s="25" t="e">
        <f>AND(#REF!,"AAAAAH/s984=")</f>
        <v>#REF!</v>
      </c>
      <c r="GZ11" s="25" t="e">
        <f>AND(#REF!,"AAAAAH/s988=")</f>
        <v>#REF!</v>
      </c>
      <c r="HA11" s="25" t="e">
        <f>AND(#REF!,"AAAAAH/s99A=")</f>
        <v>#REF!</v>
      </c>
      <c r="HB11" s="25" t="e">
        <f>AND(#REF!,"AAAAAH/s99E=")</f>
        <v>#REF!</v>
      </c>
      <c r="HC11" s="25" t="e">
        <f>AND(#REF!,"AAAAAH/s99I=")</f>
        <v>#REF!</v>
      </c>
      <c r="HD11" s="25" t="e">
        <f>AND(#REF!,"AAAAAH/s99M=")</f>
        <v>#REF!</v>
      </c>
      <c r="HE11" s="25" t="e">
        <f>IF(#REF!,"AAAAAH/s99Q=",0)</f>
        <v>#REF!</v>
      </c>
      <c r="HF11" s="25" t="e">
        <f>AND(#REF!,"AAAAAH/s99U=")</f>
        <v>#REF!</v>
      </c>
      <c r="HG11" s="25" t="e">
        <f>AND(#REF!,"AAAAAH/s99Y=")</f>
        <v>#REF!</v>
      </c>
      <c r="HH11" s="25" t="e">
        <f>AND(#REF!,"AAAAAH/s99c=")</f>
        <v>#REF!</v>
      </c>
      <c r="HI11" s="25" t="e">
        <f>AND(#REF!,"AAAAAH/s99g=")</f>
        <v>#REF!</v>
      </c>
      <c r="HJ11" s="25" t="e">
        <f>AND(#REF!,"AAAAAH/s99k=")</f>
        <v>#REF!</v>
      </c>
      <c r="HK11" s="25" t="e">
        <f>AND(#REF!,"AAAAAH/s99o=")</f>
        <v>#REF!</v>
      </c>
      <c r="HL11" s="25" t="e">
        <f>AND(#REF!,"AAAAAH/s99s=")</f>
        <v>#REF!</v>
      </c>
      <c r="HM11" s="25" t="e">
        <f>AND(#REF!,"AAAAAH/s99w=")</f>
        <v>#REF!</v>
      </c>
      <c r="HN11" s="25" t="e">
        <f>AND(#REF!,"AAAAAH/s990=")</f>
        <v>#REF!</v>
      </c>
      <c r="HO11" s="25" t="e">
        <f>AND(#REF!,"AAAAAH/s994=")</f>
        <v>#REF!</v>
      </c>
      <c r="HP11" s="25" t="e">
        <f>AND(#REF!,"AAAAAH/s998=")</f>
        <v>#REF!</v>
      </c>
      <c r="HQ11" s="25" t="e">
        <f>AND(#REF!,"AAAAAH/s9+A=")</f>
        <v>#REF!</v>
      </c>
      <c r="HR11" s="25" t="e">
        <f>AND(#REF!,"AAAAAH/s9+E=")</f>
        <v>#REF!</v>
      </c>
      <c r="HS11" s="25" t="e">
        <f>AND(#REF!,"AAAAAH/s9+I=")</f>
        <v>#REF!</v>
      </c>
      <c r="HT11" s="25" t="e">
        <f>AND(#REF!,"AAAAAH/s9+M=")</f>
        <v>#REF!</v>
      </c>
      <c r="HU11" s="25" t="e">
        <f>AND(#REF!,"AAAAAH/s9+Q=")</f>
        <v>#REF!</v>
      </c>
      <c r="HV11" s="25" t="e">
        <f>AND(#REF!,"AAAAAH/s9+U=")</f>
        <v>#REF!</v>
      </c>
      <c r="HW11" s="25" t="e">
        <f>AND(#REF!,"AAAAAH/s9+Y=")</f>
        <v>#REF!</v>
      </c>
      <c r="HX11" s="25" t="e">
        <f>AND(#REF!,"AAAAAH/s9+c=")</f>
        <v>#REF!</v>
      </c>
      <c r="HY11" s="25" t="e">
        <f>AND(#REF!,"AAAAAH/s9+g=")</f>
        <v>#REF!</v>
      </c>
      <c r="HZ11" s="25" t="e">
        <f>AND(#REF!,"AAAAAH/s9+k=")</f>
        <v>#REF!</v>
      </c>
      <c r="IA11" s="25" t="e">
        <f>IF(#REF!,"AAAAAH/s9+o=",0)</f>
        <v>#REF!</v>
      </c>
      <c r="IB11" s="25" t="e">
        <f>AND(#REF!,"AAAAAH/s9+s=")</f>
        <v>#REF!</v>
      </c>
      <c r="IC11" s="25" t="e">
        <f>AND(#REF!,"AAAAAH/s9+w=")</f>
        <v>#REF!</v>
      </c>
      <c r="ID11" s="25" t="e">
        <f>AND(#REF!,"AAAAAH/s9+0=")</f>
        <v>#REF!</v>
      </c>
      <c r="IE11" s="25" t="e">
        <f>AND(#REF!,"AAAAAH/s9+4=")</f>
        <v>#REF!</v>
      </c>
      <c r="IF11" s="25" t="e">
        <f>AND(#REF!,"AAAAAH/s9+8=")</f>
        <v>#REF!</v>
      </c>
      <c r="IG11" s="25" t="e">
        <f>AND(#REF!,"AAAAAH/s9/A=")</f>
        <v>#REF!</v>
      </c>
      <c r="IH11" s="25" t="e">
        <f>AND(#REF!,"AAAAAH/s9/E=")</f>
        <v>#REF!</v>
      </c>
      <c r="II11" s="25" t="e">
        <f>AND(#REF!,"AAAAAH/s9/I=")</f>
        <v>#REF!</v>
      </c>
      <c r="IJ11" s="25" t="e">
        <f>AND(#REF!,"AAAAAH/s9/M=")</f>
        <v>#REF!</v>
      </c>
      <c r="IK11" s="25" t="e">
        <f>AND(#REF!,"AAAAAH/s9/Q=")</f>
        <v>#REF!</v>
      </c>
      <c r="IL11" s="25" t="e">
        <f>AND(#REF!,"AAAAAH/s9/U=")</f>
        <v>#REF!</v>
      </c>
      <c r="IM11" s="25" t="e">
        <f>AND(#REF!,"AAAAAH/s9/Y=")</f>
        <v>#REF!</v>
      </c>
      <c r="IN11" s="25" t="e">
        <f>AND(#REF!,"AAAAAH/s9/c=")</f>
        <v>#REF!</v>
      </c>
      <c r="IO11" s="25" t="e">
        <f>AND(#REF!,"AAAAAH/s9/g=")</f>
        <v>#REF!</v>
      </c>
      <c r="IP11" s="25" t="e">
        <f>AND(#REF!,"AAAAAH/s9/k=")</f>
        <v>#REF!</v>
      </c>
      <c r="IQ11" s="25" t="e">
        <f>AND(#REF!,"AAAAAH/s9/o=")</f>
        <v>#REF!</v>
      </c>
      <c r="IR11" s="25" t="e">
        <f>AND(#REF!,"AAAAAH/s9/s=")</f>
        <v>#REF!</v>
      </c>
      <c r="IS11" s="25" t="e">
        <f>AND(#REF!,"AAAAAH/s9/w=")</f>
        <v>#REF!</v>
      </c>
      <c r="IT11" s="25" t="e">
        <f>AND(#REF!,"AAAAAH/s9/0=")</f>
        <v>#REF!</v>
      </c>
      <c r="IU11" s="25" t="e">
        <f>AND(#REF!,"AAAAAH/s9/4=")</f>
        <v>#REF!</v>
      </c>
      <c r="IV11" s="25" t="e">
        <f>AND(#REF!,"AAAAAH/s9/8=")</f>
        <v>#REF!</v>
      </c>
    </row>
    <row r="12" spans="1:256" ht="12.75" customHeight="1" x14ac:dyDescent="0.2">
      <c r="A12" s="25" t="e">
        <f>IF(#REF!,"AAAAAF+DvwA=",0)</f>
        <v>#REF!</v>
      </c>
      <c r="B12" s="25" t="e">
        <f>AND(#REF!,"AAAAAF+DvwE=")</f>
        <v>#REF!</v>
      </c>
      <c r="C12" s="25" t="e">
        <f>AND(#REF!,"AAAAAF+DvwI=")</f>
        <v>#REF!</v>
      </c>
      <c r="D12" s="25" t="e">
        <f>AND(#REF!,"AAAAAF+DvwM=")</f>
        <v>#REF!</v>
      </c>
      <c r="E12" s="25" t="e">
        <f>AND(#REF!,"AAAAAF+DvwQ=")</f>
        <v>#REF!</v>
      </c>
      <c r="F12" s="25" t="e">
        <f>AND(#REF!,"AAAAAF+DvwU=")</f>
        <v>#REF!</v>
      </c>
      <c r="G12" s="25" t="e">
        <f>AND(#REF!,"AAAAAF+DvwY=")</f>
        <v>#REF!</v>
      </c>
      <c r="H12" s="25" t="e">
        <f>AND(#REF!,"AAAAAF+Dvwc=")</f>
        <v>#REF!</v>
      </c>
      <c r="I12" s="25" t="e">
        <f>AND(#REF!,"AAAAAF+Dvwg=")</f>
        <v>#REF!</v>
      </c>
      <c r="J12" s="25" t="e">
        <f>AND(#REF!,"AAAAAF+Dvwk=")</f>
        <v>#REF!</v>
      </c>
      <c r="K12" s="25" t="e">
        <f>AND(#REF!,"AAAAAF+Dvwo=")</f>
        <v>#REF!</v>
      </c>
      <c r="L12" s="25" t="e">
        <f>AND(#REF!,"AAAAAF+Dvws=")</f>
        <v>#REF!</v>
      </c>
      <c r="M12" s="25" t="e">
        <f>AND(#REF!,"AAAAAF+Dvww=")</f>
        <v>#REF!</v>
      </c>
      <c r="N12" s="25" t="e">
        <f>AND(#REF!,"AAAAAF+Dvw0=")</f>
        <v>#REF!</v>
      </c>
      <c r="O12" s="25" t="e">
        <f>AND(#REF!,"AAAAAF+Dvw4=")</f>
        <v>#REF!</v>
      </c>
      <c r="P12" s="25" t="e">
        <f>AND(#REF!,"AAAAAF+Dvw8=")</f>
        <v>#REF!</v>
      </c>
      <c r="Q12" s="25" t="e">
        <f>AND(#REF!,"AAAAAF+DvxA=")</f>
        <v>#REF!</v>
      </c>
      <c r="R12" s="25" t="e">
        <f>AND(#REF!,"AAAAAF+DvxE=")</f>
        <v>#REF!</v>
      </c>
      <c r="S12" s="25" t="e">
        <f>AND(#REF!,"AAAAAF+DvxI=")</f>
        <v>#REF!</v>
      </c>
      <c r="T12" s="25" t="e">
        <f>AND(#REF!,"AAAAAF+DvxM=")</f>
        <v>#REF!</v>
      </c>
      <c r="U12" s="25" t="e">
        <f>AND(#REF!,"AAAAAF+DvxQ=")</f>
        <v>#REF!</v>
      </c>
      <c r="V12" s="25" t="e">
        <f>AND(#REF!,"AAAAAF+DvxU=")</f>
        <v>#REF!</v>
      </c>
      <c r="W12" s="25" t="e">
        <f>IF(#REF!,"AAAAAF+DvxY=",0)</f>
        <v>#REF!</v>
      </c>
      <c r="X12" s="25" t="e">
        <f>AND(#REF!,"AAAAAF+Dvxc=")</f>
        <v>#REF!</v>
      </c>
      <c r="Y12" s="25" t="e">
        <f>AND(#REF!,"AAAAAF+Dvxg=")</f>
        <v>#REF!</v>
      </c>
      <c r="Z12" s="25" t="e">
        <f>AND(#REF!,"AAAAAF+Dvxk=")</f>
        <v>#REF!</v>
      </c>
      <c r="AA12" s="25" t="e">
        <f>AND(#REF!,"AAAAAF+Dvxo=")</f>
        <v>#REF!</v>
      </c>
      <c r="AB12" s="25" t="e">
        <f>AND(#REF!,"AAAAAF+Dvxs=")</f>
        <v>#REF!</v>
      </c>
      <c r="AC12" s="25" t="e">
        <f>AND(#REF!,"AAAAAF+Dvxw=")</f>
        <v>#REF!</v>
      </c>
      <c r="AD12" s="25" t="e">
        <f>AND(#REF!,"AAAAAF+Dvx0=")</f>
        <v>#REF!</v>
      </c>
      <c r="AE12" s="25" t="e">
        <f>AND(#REF!,"AAAAAF+Dvx4=")</f>
        <v>#REF!</v>
      </c>
      <c r="AF12" s="25" t="e">
        <f>AND(#REF!,"AAAAAF+Dvx8=")</f>
        <v>#REF!</v>
      </c>
      <c r="AG12" s="25" t="e">
        <f>AND(#REF!,"AAAAAF+DvyA=")</f>
        <v>#REF!</v>
      </c>
      <c r="AH12" s="25" t="e">
        <f>AND(#REF!,"AAAAAF+DvyE=")</f>
        <v>#REF!</v>
      </c>
      <c r="AI12" s="25" t="e">
        <f>AND(#REF!,"AAAAAF+DvyI=")</f>
        <v>#REF!</v>
      </c>
      <c r="AJ12" s="25" t="e">
        <f>AND(#REF!,"AAAAAF+DvyM=")</f>
        <v>#REF!</v>
      </c>
      <c r="AK12" s="25" t="e">
        <f>AND(#REF!,"AAAAAF+DvyQ=")</f>
        <v>#REF!</v>
      </c>
      <c r="AL12" s="25" t="e">
        <f>AND(#REF!,"AAAAAF+DvyU=")</f>
        <v>#REF!</v>
      </c>
      <c r="AM12" s="25" t="e">
        <f>AND(#REF!,"AAAAAF+DvyY=")</f>
        <v>#REF!</v>
      </c>
      <c r="AN12" s="25" t="e">
        <f>AND(#REF!,"AAAAAF+Dvyc=")</f>
        <v>#REF!</v>
      </c>
      <c r="AO12" s="25" t="e">
        <f>AND(#REF!,"AAAAAF+Dvyg=")</f>
        <v>#REF!</v>
      </c>
      <c r="AP12" s="25" t="e">
        <f>AND(#REF!,"AAAAAF+Dvyk=")</f>
        <v>#REF!</v>
      </c>
      <c r="AQ12" s="25" t="e">
        <f>AND(#REF!,"AAAAAF+Dvyo=")</f>
        <v>#REF!</v>
      </c>
      <c r="AR12" s="25" t="e">
        <f>AND(#REF!,"AAAAAF+Dvys=")</f>
        <v>#REF!</v>
      </c>
      <c r="AS12" s="25" t="e">
        <f>IF(#REF!,"AAAAAF+Dvyw=",0)</f>
        <v>#REF!</v>
      </c>
      <c r="AT12" s="25" t="e">
        <f>AND(#REF!,"AAAAAF+Dvy0=")</f>
        <v>#REF!</v>
      </c>
      <c r="AU12" s="25" t="e">
        <f>AND(#REF!,"AAAAAF+Dvy4=")</f>
        <v>#REF!</v>
      </c>
      <c r="AV12" s="25" t="e">
        <f>AND(#REF!,"AAAAAF+Dvy8=")</f>
        <v>#REF!</v>
      </c>
      <c r="AW12" s="25" t="e">
        <f>AND(#REF!,"AAAAAF+DvzA=")</f>
        <v>#REF!</v>
      </c>
      <c r="AX12" s="25" t="e">
        <f>AND(#REF!,"AAAAAF+DvzE=")</f>
        <v>#REF!</v>
      </c>
      <c r="AY12" s="25" t="e">
        <f>AND(#REF!,"AAAAAF+DvzI=")</f>
        <v>#REF!</v>
      </c>
      <c r="AZ12" s="25" t="e">
        <f>AND(#REF!,"AAAAAF+DvzM=")</f>
        <v>#REF!</v>
      </c>
      <c r="BA12" s="25" t="e">
        <f>AND(#REF!,"AAAAAF+DvzQ=")</f>
        <v>#REF!</v>
      </c>
      <c r="BB12" s="25" t="e">
        <f>AND(#REF!,"AAAAAF+DvzU=")</f>
        <v>#REF!</v>
      </c>
      <c r="BC12" s="25" t="e">
        <f>AND(#REF!,"AAAAAF+DvzY=")</f>
        <v>#REF!</v>
      </c>
      <c r="BD12" s="25" t="e">
        <f>AND(#REF!,"AAAAAF+Dvzc=")</f>
        <v>#REF!</v>
      </c>
      <c r="BE12" s="25" t="e">
        <f>AND(#REF!,"AAAAAF+Dvzg=")</f>
        <v>#REF!</v>
      </c>
      <c r="BF12" s="25" t="e">
        <f>AND(#REF!,"AAAAAF+Dvzk=")</f>
        <v>#REF!</v>
      </c>
      <c r="BG12" s="25" t="e">
        <f>AND(#REF!,"AAAAAF+Dvzo=")</f>
        <v>#REF!</v>
      </c>
      <c r="BH12" s="25" t="e">
        <f>AND(#REF!,"AAAAAF+Dvzs=")</f>
        <v>#REF!</v>
      </c>
      <c r="BI12" s="25" t="e">
        <f>AND(#REF!,"AAAAAF+Dvzw=")</f>
        <v>#REF!</v>
      </c>
      <c r="BJ12" s="25" t="e">
        <f>AND(#REF!,"AAAAAF+Dvz0=")</f>
        <v>#REF!</v>
      </c>
      <c r="BK12" s="25" t="e">
        <f>AND(#REF!,"AAAAAF+Dvz4=")</f>
        <v>#REF!</v>
      </c>
      <c r="BL12" s="25" t="e">
        <f>AND(#REF!,"AAAAAF+Dvz8=")</f>
        <v>#REF!</v>
      </c>
      <c r="BM12" s="25" t="e">
        <f>AND(#REF!,"AAAAAF+Dv0A=")</f>
        <v>#REF!</v>
      </c>
      <c r="BN12" s="25" t="e">
        <f>AND(#REF!,"AAAAAF+Dv0E=")</f>
        <v>#REF!</v>
      </c>
      <c r="BO12" s="25" t="e">
        <f>IF(#REF!,"AAAAAF+Dv0I=",0)</f>
        <v>#REF!</v>
      </c>
      <c r="BP12" s="25" t="e">
        <f>AND(#REF!,"AAAAAF+Dv0M=")</f>
        <v>#REF!</v>
      </c>
      <c r="BQ12" s="25" t="e">
        <f>AND(#REF!,"AAAAAF+Dv0Q=")</f>
        <v>#REF!</v>
      </c>
      <c r="BR12" s="25" t="e">
        <f>AND(#REF!,"AAAAAF+Dv0U=")</f>
        <v>#REF!</v>
      </c>
      <c r="BS12" s="25" t="e">
        <f>AND(#REF!,"AAAAAF+Dv0Y=")</f>
        <v>#REF!</v>
      </c>
      <c r="BT12" s="25" t="e">
        <f>AND(#REF!,"AAAAAF+Dv0c=")</f>
        <v>#REF!</v>
      </c>
      <c r="BU12" s="25" t="e">
        <f>AND(#REF!,"AAAAAF+Dv0g=")</f>
        <v>#REF!</v>
      </c>
      <c r="BV12" s="25" t="e">
        <f>AND(#REF!,"AAAAAF+Dv0k=")</f>
        <v>#REF!</v>
      </c>
      <c r="BW12" s="25" t="e">
        <f>AND(#REF!,"AAAAAF+Dv0o=")</f>
        <v>#REF!</v>
      </c>
      <c r="BX12" s="25" t="e">
        <f>AND(#REF!,"AAAAAF+Dv0s=")</f>
        <v>#REF!</v>
      </c>
      <c r="BY12" s="25" t="e">
        <f>AND(#REF!,"AAAAAF+Dv0w=")</f>
        <v>#REF!</v>
      </c>
      <c r="BZ12" s="25" t="e">
        <f>AND(#REF!,"AAAAAF+Dv00=")</f>
        <v>#REF!</v>
      </c>
      <c r="CA12" s="25" t="e">
        <f>AND(#REF!,"AAAAAF+Dv04=")</f>
        <v>#REF!</v>
      </c>
      <c r="CB12" s="25" t="e">
        <f>AND(#REF!,"AAAAAF+Dv08=")</f>
        <v>#REF!</v>
      </c>
      <c r="CC12" s="25" t="e">
        <f>AND(#REF!,"AAAAAF+Dv1A=")</f>
        <v>#REF!</v>
      </c>
      <c r="CD12" s="25" t="e">
        <f>AND(#REF!,"AAAAAF+Dv1E=")</f>
        <v>#REF!</v>
      </c>
      <c r="CE12" s="25" t="e">
        <f>AND(#REF!,"AAAAAF+Dv1I=")</f>
        <v>#REF!</v>
      </c>
      <c r="CF12" s="25" t="e">
        <f>AND(#REF!,"AAAAAF+Dv1M=")</f>
        <v>#REF!</v>
      </c>
      <c r="CG12" s="25" t="e">
        <f>AND(#REF!,"AAAAAF+Dv1Q=")</f>
        <v>#REF!</v>
      </c>
      <c r="CH12" s="25" t="e">
        <f>AND(#REF!,"AAAAAF+Dv1U=")</f>
        <v>#REF!</v>
      </c>
      <c r="CI12" s="25" t="e">
        <f>AND(#REF!,"AAAAAF+Dv1Y=")</f>
        <v>#REF!</v>
      </c>
      <c r="CJ12" s="25" t="e">
        <f>AND(#REF!,"AAAAAF+Dv1c=")</f>
        <v>#REF!</v>
      </c>
      <c r="CK12" s="25" t="e">
        <f>IF(#REF!,"AAAAAF+Dv1g=",0)</f>
        <v>#REF!</v>
      </c>
      <c r="CL12" s="25" t="e">
        <f>AND(#REF!,"AAAAAF+Dv1k=")</f>
        <v>#REF!</v>
      </c>
      <c r="CM12" s="25" t="e">
        <f>AND(#REF!,"AAAAAF+Dv1o=")</f>
        <v>#REF!</v>
      </c>
      <c r="CN12" s="25" t="e">
        <f>AND(#REF!,"AAAAAF+Dv1s=")</f>
        <v>#REF!</v>
      </c>
      <c r="CO12" s="25" t="e">
        <f>AND(#REF!,"AAAAAF+Dv1w=")</f>
        <v>#REF!</v>
      </c>
      <c r="CP12" s="25" t="e">
        <f>AND(#REF!,"AAAAAF+Dv10=")</f>
        <v>#REF!</v>
      </c>
      <c r="CQ12" s="25" t="e">
        <f>AND(#REF!,"AAAAAF+Dv14=")</f>
        <v>#REF!</v>
      </c>
      <c r="CR12" s="25" t="e">
        <f>AND(#REF!,"AAAAAF+Dv18=")</f>
        <v>#REF!</v>
      </c>
      <c r="CS12" s="25" t="e">
        <f>AND(#REF!,"AAAAAF+Dv2A=")</f>
        <v>#REF!</v>
      </c>
      <c r="CT12" s="25" t="e">
        <f>AND(#REF!,"AAAAAF+Dv2E=")</f>
        <v>#REF!</v>
      </c>
      <c r="CU12" s="25" t="e">
        <f>AND(#REF!,"AAAAAF+Dv2I=")</f>
        <v>#REF!</v>
      </c>
      <c r="CV12" s="25" t="e">
        <f>AND(#REF!,"AAAAAF+Dv2M=")</f>
        <v>#REF!</v>
      </c>
      <c r="CW12" s="25" t="e">
        <f>AND(#REF!,"AAAAAF+Dv2Q=")</f>
        <v>#REF!</v>
      </c>
      <c r="CX12" s="25" t="e">
        <f>AND(#REF!,"AAAAAF+Dv2U=")</f>
        <v>#REF!</v>
      </c>
      <c r="CY12" s="25" t="e">
        <f>AND(#REF!,"AAAAAF+Dv2Y=")</f>
        <v>#REF!</v>
      </c>
      <c r="CZ12" s="25" t="e">
        <f>AND(#REF!,"AAAAAF+Dv2c=")</f>
        <v>#REF!</v>
      </c>
      <c r="DA12" s="25" t="e">
        <f>AND(#REF!,"AAAAAF+Dv2g=")</f>
        <v>#REF!</v>
      </c>
      <c r="DB12" s="25" t="e">
        <f>AND(#REF!,"AAAAAF+Dv2k=")</f>
        <v>#REF!</v>
      </c>
      <c r="DC12" s="25" t="e">
        <f>AND(#REF!,"AAAAAF+Dv2o=")</f>
        <v>#REF!</v>
      </c>
      <c r="DD12" s="25" t="e">
        <f>AND(#REF!,"AAAAAF+Dv2s=")</f>
        <v>#REF!</v>
      </c>
      <c r="DE12" s="25" t="e">
        <f>AND(#REF!,"AAAAAF+Dv2w=")</f>
        <v>#REF!</v>
      </c>
      <c r="DF12" s="25" t="e">
        <f>AND(#REF!,"AAAAAF+Dv20=")</f>
        <v>#REF!</v>
      </c>
      <c r="DG12" s="25" t="e">
        <f>IF(#REF!,"AAAAAF+Dv24=",0)</f>
        <v>#REF!</v>
      </c>
      <c r="DH12" s="25" t="e">
        <f>AND(#REF!,"AAAAAF+Dv28=")</f>
        <v>#REF!</v>
      </c>
      <c r="DI12" s="25" t="e">
        <f>AND(#REF!,"AAAAAF+Dv3A=")</f>
        <v>#REF!</v>
      </c>
      <c r="DJ12" s="25" t="e">
        <f>AND(#REF!,"AAAAAF+Dv3E=")</f>
        <v>#REF!</v>
      </c>
      <c r="DK12" s="25" t="e">
        <f>AND(#REF!,"AAAAAF+Dv3I=")</f>
        <v>#REF!</v>
      </c>
      <c r="DL12" s="25" t="e">
        <f>AND(#REF!,"AAAAAF+Dv3M=")</f>
        <v>#REF!</v>
      </c>
      <c r="DM12" s="25" t="e">
        <f>AND(#REF!,"AAAAAF+Dv3Q=")</f>
        <v>#REF!</v>
      </c>
      <c r="DN12" s="25" t="e">
        <f>AND(#REF!,"AAAAAF+Dv3U=")</f>
        <v>#REF!</v>
      </c>
      <c r="DO12" s="25" t="e">
        <f>AND(#REF!,"AAAAAF+Dv3Y=")</f>
        <v>#REF!</v>
      </c>
      <c r="DP12" s="25" t="e">
        <f>AND(#REF!,"AAAAAF+Dv3c=")</f>
        <v>#REF!</v>
      </c>
      <c r="DQ12" s="25" t="e">
        <f>AND(#REF!,"AAAAAF+Dv3g=")</f>
        <v>#REF!</v>
      </c>
      <c r="DR12" s="25" t="e">
        <f>AND(#REF!,"AAAAAF+Dv3k=")</f>
        <v>#REF!</v>
      </c>
      <c r="DS12" s="25" t="e">
        <f>AND(#REF!,"AAAAAF+Dv3o=")</f>
        <v>#REF!</v>
      </c>
      <c r="DT12" s="25" t="e">
        <f>AND(#REF!,"AAAAAF+Dv3s=")</f>
        <v>#REF!</v>
      </c>
      <c r="DU12" s="25" t="e">
        <f>AND(#REF!,"AAAAAF+Dv3w=")</f>
        <v>#REF!</v>
      </c>
      <c r="DV12" s="25" t="e">
        <f>AND(#REF!,"AAAAAF+Dv30=")</f>
        <v>#REF!</v>
      </c>
      <c r="DW12" s="25" t="e">
        <f>AND(#REF!,"AAAAAF+Dv34=")</f>
        <v>#REF!</v>
      </c>
      <c r="DX12" s="25" t="e">
        <f>AND(#REF!,"AAAAAF+Dv38=")</f>
        <v>#REF!</v>
      </c>
      <c r="DY12" s="25" t="e">
        <f>AND(#REF!,"AAAAAF+Dv4A=")</f>
        <v>#REF!</v>
      </c>
      <c r="DZ12" s="25" t="e">
        <f>AND(#REF!,"AAAAAF+Dv4E=")</f>
        <v>#REF!</v>
      </c>
      <c r="EA12" s="25" t="e">
        <f>AND(#REF!,"AAAAAF+Dv4I=")</f>
        <v>#REF!</v>
      </c>
      <c r="EB12" s="25" t="e">
        <f>AND(#REF!,"AAAAAF+Dv4M=")</f>
        <v>#REF!</v>
      </c>
      <c r="EC12" s="25" t="e">
        <f>IF(#REF!,"AAAAAF+Dv4Q=",0)</f>
        <v>#REF!</v>
      </c>
      <c r="ED12" s="25" t="e">
        <f>AND(#REF!,"AAAAAF+Dv4U=")</f>
        <v>#REF!</v>
      </c>
      <c r="EE12" s="25" t="e">
        <f>AND(#REF!,"AAAAAF+Dv4Y=")</f>
        <v>#REF!</v>
      </c>
      <c r="EF12" s="25" t="e">
        <f>AND(#REF!,"AAAAAF+Dv4c=")</f>
        <v>#REF!</v>
      </c>
      <c r="EG12" s="25" t="e">
        <f>AND(#REF!,"AAAAAF+Dv4g=")</f>
        <v>#REF!</v>
      </c>
      <c r="EH12" s="25" t="e">
        <f>AND(#REF!,"AAAAAF+Dv4k=")</f>
        <v>#REF!</v>
      </c>
      <c r="EI12" s="25" t="e">
        <f>AND(#REF!,"AAAAAF+Dv4o=")</f>
        <v>#REF!</v>
      </c>
      <c r="EJ12" s="25" t="e">
        <f>AND(#REF!,"AAAAAF+Dv4s=")</f>
        <v>#REF!</v>
      </c>
      <c r="EK12" s="25" t="e">
        <f>AND(#REF!,"AAAAAF+Dv4w=")</f>
        <v>#REF!</v>
      </c>
      <c r="EL12" s="25" t="e">
        <f>AND(#REF!,"AAAAAF+Dv40=")</f>
        <v>#REF!</v>
      </c>
      <c r="EM12" s="25" t="e">
        <f>AND(#REF!,"AAAAAF+Dv44=")</f>
        <v>#REF!</v>
      </c>
      <c r="EN12" s="25" t="e">
        <f>AND(#REF!,"AAAAAF+Dv48=")</f>
        <v>#REF!</v>
      </c>
      <c r="EO12" s="25" t="e">
        <f>AND(#REF!,"AAAAAF+Dv5A=")</f>
        <v>#REF!</v>
      </c>
      <c r="EP12" s="25" t="e">
        <f>AND(#REF!,"AAAAAF+Dv5E=")</f>
        <v>#REF!</v>
      </c>
      <c r="EQ12" s="25" t="e">
        <f>AND(#REF!,"AAAAAF+Dv5I=")</f>
        <v>#REF!</v>
      </c>
      <c r="ER12" s="25" t="e">
        <f>AND(#REF!,"AAAAAF+Dv5M=")</f>
        <v>#REF!</v>
      </c>
      <c r="ES12" s="25" t="e">
        <f>AND(#REF!,"AAAAAF+Dv5Q=")</f>
        <v>#REF!</v>
      </c>
      <c r="ET12" s="25" t="e">
        <f>AND(#REF!,"AAAAAF+Dv5U=")</f>
        <v>#REF!</v>
      </c>
      <c r="EU12" s="25" t="e">
        <f>AND(#REF!,"AAAAAF+Dv5Y=")</f>
        <v>#REF!</v>
      </c>
      <c r="EV12" s="25" t="e">
        <f>AND(#REF!,"AAAAAF+Dv5c=")</f>
        <v>#REF!</v>
      </c>
      <c r="EW12" s="25" t="e">
        <f>AND(#REF!,"AAAAAF+Dv5g=")</f>
        <v>#REF!</v>
      </c>
      <c r="EX12" s="25" t="e">
        <f>AND(#REF!,"AAAAAF+Dv5k=")</f>
        <v>#REF!</v>
      </c>
      <c r="EY12" s="25" t="e">
        <f>IF(#REF!,"AAAAAF+Dv5o=",0)</f>
        <v>#REF!</v>
      </c>
      <c r="EZ12" s="25" t="e">
        <f>AND(#REF!,"AAAAAF+Dv5s=")</f>
        <v>#REF!</v>
      </c>
      <c r="FA12" s="25" t="e">
        <f>AND(#REF!,"AAAAAF+Dv5w=")</f>
        <v>#REF!</v>
      </c>
      <c r="FB12" s="25" t="e">
        <f>AND(#REF!,"AAAAAF+Dv50=")</f>
        <v>#REF!</v>
      </c>
      <c r="FC12" s="25" t="e">
        <f>AND(#REF!,"AAAAAF+Dv54=")</f>
        <v>#REF!</v>
      </c>
      <c r="FD12" s="25" t="e">
        <f>AND(#REF!,"AAAAAF+Dv58=")</f>
        <v>#REF!</v>
      </c>
      <c r="FE12" s="25" t="e">
        <f>AND(#REF!,"AAAAAF+Dv6A=")</f>
        <v>#REF!</v>
      </c>
      <c r="FF12" s="25" t="e">
        <f>AND(#REF!,"AAAAAF+Dv6E=")</f>
        <v>#REF!</v>
      </c>
      <c r="FG12" s="25" t="e">
        <f>AND(#REF!,"AAAAAF+Dv6I=")</f>
        <v>#REF!</v>
      </c>
      <c r="FH12" s="25" t="e">
        <f>AND(#REF!,"AAAAAF+Dv6M=")</f>
        <v>#REF!</v>
      </c>
      <c r="FI12" s="25" t="e">
        <f>AND(#REF!,"AAAAAF+Dv6Q=")</f>
        <v>#REF!</v>
      </c>
      <c r="FJ12" s="25" t="e">
        <f>AND(#REF!,"AAAAAF+Dv6U=")</f>
        <v>#REF!</v>
      </c>
      <c r="FK12" s="25" t="e">
        <f>AND(#REF!,"AAAAAF+Dv6Y=")</f>
        <v>#REF!</v>
      </c>
      <c r="FL12" s="25" t="e">
        <f>AND(#REF!,"AAAAAF+Dv6c=")</f>
        <v>#REF!</v>
      </c>
      <c r="FM12" s="25" t="e">
        <f>AND(#REF!,"AAAAAF+Dv6g=")</f>
        <v>#REF!</v>
      </c>
      <c r="FN12" s="25" t="e">
        <f>AND(#REF!,"AAAAAF+Dv6k=")</f>
        <v>#REF!</v>
      </c>
      <c r="FO12" s="25" t="e">
        <f>AND(#REF!,"AAAAAF+Dv6o=")</f>
        <v>#REF!</v>
      </c>
      <c r="FP12" s="25" t="e">
        <f>AND(#REF!,"AAAAAF+Dv6s=")</f>
        <v>#REF!</v>
      </c>
      <c r="FQ12" s="25" t="e">
        <f>AND(#REF!,"AAAAAF+Dv6w=")</f>
        <v>#REF!</v>
      </c>
      <c r="FR12" s="25" t="e">
        <f>AND(#REF!,"AAAAAF+Dv60=")</f>
        <v>#REF!</v>
      </c>
      <c r="FS12" s="25" t="e">
        <f>AND(#REF!,"AAAAAF+Dv64=")</f>
        <v>#REF!</v>
      </c>
      <c r="FT12" s="25" t="e">
        <f>AND(#REF!,"AAAAAF+Dv68=")</f>
        <v>#REF!</v>
      </c>
      <c r="FU12" s="25" t="e">
        <f>IF(#REF!,"AAAAAF+Dv7A=",0)</f>
        <v>#REF!</v>
      </c>
      <c r="FV12" s="25" t="e">
        <f>AND(#REF!,"AAAAAF+Dv7E=")</f>
        <v>#REF!</v>
      </c>
      <c r="FW12" s="25" t="e">
        <f>AND(#REF!,"AAAAAF+Dv7I=")</f>
        <v>#REF!</v>
      </c>
      <c r="FX12" s="25" t="e">
        <f>AND(#REF!,"AAAAAF+Dv7M=")</f>
        <v>#REF!</v>
      </c>
      <c r="FY12" s="25" t="e">
        <f>AND(#REF!,"AAAAAF+Dv7Q=")</f>
        <v>#REF!</v>
      </c>
      <c r="FZ12" s="25" t="e">
        <f>AND(#REF!,"AAAAAF+Dv7U=")</f>
        <v>#REF!</v>
      </c>
      <c r="GA12" s="25" t="e">
        <f>AND(#REF!,"AAAAAF+Dv7Y=")</f>
        <v>#REF!</v>
      </c>
      <c r="GB12" s="25" t="e">
        <f>AND(#REF!,"AAAAAF+Dv7c=")</f>
        <v>#REF!</v>
      </c>
      <c r="GC12" s="25" t="e">
        <f>AND(#REF!,"AAAAAF+Dv7g=")</f>
        <v>#REF!</v>
      </c>
      <c r="GD12" s="25" t="e">
        <f>AND(#REF!,"AAAAAF+Dv7k=")</f>
        <v>#REF!</v>
      </c>
      <c r="GE12" s="25" t="e">
        <f>AND(#REF!,"AAAAAF+Dv7o=")</f>
        <v>#REF!</v>
      </c>
      <c r="GF12" s="25" t="e">
        <f>AND(#REF!,"AAAAAF+Dv7s=")</f>
        <v>#REF!</v>
      </c>
      <c r="GG12" s="25" t="e">
        <f>AND(#REF!,"AAAAAF+Dv7w=")</f>
        <v>#REF!</v>
      </c>
      <c r="GH12" s="25" t="e">
        <f>AND(#REF!,"AAAAAF+Dv70=")</f>
        <v>#REF!</v>
      </c>
      <c r="GI12" s="25" t="e">
        <f>AND(#REF!,"AAAAAF+Dv74=")</f>
        <v>#REF!</v>
      </c>
      <c r="GJ12" s="25" t="e">
        <f>AND(#REF!,"AAAAAF+Dv78=")</f>
        <v>#REF!</v>
      </c>
      <c r="GK12" s="25" t="e">
        <f>AND(#REF!,"AAAAAF+Dv8A=")</f>
        <v>#REF!</v>
      </c>
      <c r="GL12" s="25" t="e">
        <f>AND(#REF!,"AAAAAF+Dv8E=")</f>
        <v>#REF!</v>
      </c>
      <c r="GM12" s="25" t="e">
        <f>AND(#REF!,"AAAAAF+Dv8I=")</f>
        <v>#REF!</v>
      </c>
      <c r="GN12" s="25" t="e">
        <f>AND(#REF!,"AAAAAF+Dv8M=")</f>
        <v>#REF!</v>
      </c>
      <c r="GO12" s="25" t="e">
        <f>AND(#REF!,"AAAAAF+Dv8Q=")</f>
        <v>#REF!</v>
      </c>
      <c r="GP12" s="25" t="e">
        <f>AND(#REF!,"AAAAAF+Dv8U=")</f>
        <v>#REF!</v>
      </c>
      <c r="GQ12" s="25" t="e">
        <f>IF(#REF!,"AAAAAF+Dv8Y=",0)</f>
        <v>#REF!</v>
      </c>
      <c r="GR12" s="25" t="e">
        <f>AND(#REF!,"AAAAAF+Dv8c=")</f>
        <v>#REF!</v>
      </c>
      <c r="GS12" s="25" t="e">
        <f>AND(#REF!,"AAAAAF+Dv8g=")</f>
        <v>#REF!</v>
      </c>
      <c r="GT12" s="25" t="e">
        <f>AND(#REF!,"AAAAAF+Dv8k=")</f>
        <v>#REF!</v>
      </c>
      <c r="GU12" s="25" t="e">
        <f>AND(#REF!,"AAAAAF+Dv8o=")</f>
        <v>#REF!</v>
      </c>
      <c r="GV12" s="25" t="e">
        <f>AND(#REF!,"AAAAAF+Dv8s=")</f>
        <v>#REF!</v>
      </c>
      <c r="GW12" s="25" t="e">
        <f>AND(#REF!,"AAAAAF+Dv8w=")</f>
        <v>#REF!</v>
      </c>
      <c r="GX12" s="25" t="e">
        <f>AND(#REF!,"AAAAAF+Dv80=")</f>
        <v>#REF!</v>
      </c>
      <c r="GY12" s="25" t="e">
        <f>AND(#REF!,"AAAAAF+Dv84=")</f>
        <v>#REF!</v>
      </c>
      <c r="GZ12" s="25" t="e">
        <f>AND(#REF!,"AAAAAF+Dv88=")</f>
        <v>#REF!</v>
      </c>
      <c r="HA12" s="25" t="e">
        <f>AND(#REF!,"AAAAAF+Dv9A=")</f>
        <v>#REF!</v>
      </c>
      <c r="HB12" s="25" t="e">
        <f>AND(#REF!,"AAAAAF+Dv9E=")</f>
        <v>#REF!</v>
      </c>
      <c r="HC12" s="25" t="e">
        <f>AND(#REF!,"AAAAAF+Dv9I=")</f>
        <v>#REF!</v>
      </c>
      <c r="HD12" s="25" t="e">
        <f>AND(#REF!,"AAAAAF+Dv9M=")</f>
        <v>#REF!</v>
      </c>
      <c r="HE12" s="25" t="e">
        <f>AND(#REF!,"AAAAAF+Dv9Q=")</f>
        <v>#REF!</v>
      </c>
      <c r="HF12" s="25" t="e">
        <f>AND(#REF!,"AAAAAF+Dv9U=")</f>
        <v>#REF!</v>
      </c>
      <c r="HG12" s="25" t="e">
        <f>AND(#REF!,"AAAAAF+Dv9Y=")</f>
        <v>#REF!</v>
      </c>
      <c r="HH12" s="25" t="e">
        <f>AND(#REF!,"AAAAAF+Dv9c=")</f>
        <v>#REF!</v>
      </c>
      <c r="HI12" s="25" t="e">
        <f>AND(#REF!,"AAAAAF+Dv9g=")</f>
        <v>#REF!</v>
      </c>
      <c r="HJ12" s="25" t="e">
        <f>AND(#REF!,"AAAAAF+Dv9k=")</f>
        <v>#REF!</v>
      </c>
      <c r="HK12" s="25" t="e">
        <f>AND(#REF!,"AAAAAF+Dv9o=")</f>
        <v>#REF!</v>
      </c>
      <c r="HL12" s="25" t="e">
        <f>AND(#REF!,"AAAAAF+Dv9s=")</f>
        <v>#REF!</v>
      </c>
      <c r="HM12" s="25" t="e">
        <f>IF(#REF!,"AAAAAF+Dv9w=",0)</f>
        <v>#REF!</v>
      </c>
      <c r="HN12" s="25" t="e">
        <f>AND(#REF!,"AAAAAF+Dv90=")</f>
        <v>#REF!</v>
      </c>
      <c r="HO12" s="25" t="e">
        <f>AND(#REF!,"AAAAAF+Dv94=")</f>
        <v>#REF!</v>
      </c>
      <c r="HP12" s="25" t="e">
        <f>AND(#REF!,"AAAAAF+Dv98=")</f>
        <v>#REF!</v>
      </c>
      <c r="HQ12" s="25" t="e">
        <f>AND(#REF!,"AAAAAF+Dv+A=")</f>
        <v>#REF!</v>
      </c>
      <c r="HR12" s="25" t="e">
        <f>AND(#REF!,"AAAAAF+Dv+E=")</f>
        <v>#REF!</v>
      </c>
      <c r="HS12" s="25" t="e">
        <f>AND(#REF!,"AAAAAF+Dv+I=")</f>
        <v>#REF!</v>
      </c>
      <c r="HT12" s="25" t="e">
        <f>AND(#REF!,"AAAAAF+Dv+M=")</f>
        <v>#REF!</v>
      </c>
      <c r="HU12" s="25" t="e">
        <f>AND(#REF!,"AAAAAF+Dv+Q=")</f>
        <v>#REF!</v>
      </c>
      <c r="HV12" s="25" t="e">
        <f>AND(#REF!,"AAAAAF+Dv+U=")</f>
        <v>#REF!</v>
      </c>
      <c r="HW12" s="25" t="e">
        <f>AND(#REF!,"AAAAAF+Dv+Y=")</f>
        <v>#REF!</v>
      </c>
      <c r="HX12" s="25" t="e">
        <f>AND(#REF!,"AAAAAF+Dv+c=")</f>
        <v>#REF!</v>
      </c>
      <c r="HY12" s="25" t="e">
        <f>AND(#REF!,"AAAAAF+Dv+g=")</f>
        <v>#REF!</v>
      </c>
      <c r="HZ12" s="25" t="e">
        <f>AND(#REF!,"AAAAAF+Dv+k=")</f>
        <v>#REF!</v>
      </c>
      <c r="IA12" s="25" t="e">
        <f>AND(#REF!,"AAAAAF+Dv+o=")</f>
        <v>#REF!</v>
      </c>
      <c r="IB12" s="25" t="e">
        <f>AND(#REF!,"AAAAAF+Dv+s=")</f>
        <v>#REF!</v>
      </c>
      <c r="IC12" s="25" t="e">
        <f>AND(#REF!,"AAAAAF+Dv+w=")</f>
        <v>#REF!</v>
      </c>
      <c r="ID12" s="25" t="e">
        <f>AND(#REF!,"AAAAAF+Dv+0=")</f>
        <v>#REF!</v>
      </c>
      <c r="IE12" s="25" t="e">
        <f>AND(#REF!,"AAAAAF+Dv+4=")</f>
        <v>#REF!</v>
      </c>
      <c r="IF12" s="25" t="e">
        <f>AND(#REF!,"AAAAAF+Dv+8=")</f>
        <v>#REF!</v>
      </c>
      <c r="IG12" s="25" t="e">
        <f>AND(#REF!,"AAAAAF+Dv/A=")</f>
        <v>#REF!</v>
      </c>
      <c r="IH12" s="25" t="e">
        <f>AND(#REF!,"AAAAAF+Dv/E=")</f>
        <v>#REF!</v>
      </c>
      <c r="II12" s="25" t="e">
        <f>IF(#REF!,"AAAAAF+Dv/I=",0)</f>
        <v>#REF!</v>
      </c>
      <c r="IJ12" s="25" t="e">
        <f>AND(#REF!,"AAAAAF+Dv/M=")</f>
        <v>#REF!</v>
      </c>
      <c r="IK12" s="25" t="e">
        <f>AND(#REF!,"AAAAAF+Dv/Q=")</f>
        <v>#REF!</v>
      </c>
      <c r="IL12" s="25" t="e">
        <f>AND(#REF!,"AAAAAF+Dv/U=")</f>
        <v>#REF!</v>
      </c>
      <c r="IM12" s="25" t="e">
        <f>AND(#REF!,"AAAAAF+Dv/Y=")</f>
        <v>#REF!</v>
      </c>
      <c r="IN12" s="25" t="e">
        <f>AND(#REF!,"AAAAAF+Dv/c=")</f>
        <v>#REF!</v>
      </c>
      <c r="IO12" s="25" t="e">
        <f>AND(#REF!,"AAAAAF+Dv/g=")</f>
        <v>#REF!</v>
      </c>
      <c r="IP12" s="25" t="e">
        <f>AND(#REF!,"AAAAAF+Dv/k=")</f>
        <v>#REF!</v>
      </c>
      <c r="IQ12" s="25" t="e">
        <f>AND(#REF!,"AAAAAF+Dv/o=")</f>
        <v>#REF!</v>
      </c>
      <c r="IR12" s="25" t="e">
        <f>AND(#REF!,"AAAAAF+Dv/s=")</f>
        <v>#REF!</v>
      </c>
      <c r="IS12" s="25" t="e">
        <f>AND(#REF!,"AAAAAF+Dv/w=")</f>
        <v>#REF!</v>
      </c>
      <c r="IT12" s="25" t="e">
        <f>AND(#REF!,"AAAAAF+Dv/0=")</f>
        <v>#REF!</v>
      </c>
      <c r="IU12" s="25" t="e">
        <f>AND(#REF!,"AAAAAF+Dv/4=")</f>
        <v>#REF!</v>
      </c>
      <c r="IV12" s="25" t="e">
        <f>AND(#REF!,"AAAAAF+Dv/8=")</f>
        <v>#REF!</v>
      </c>
    </row>
    <row r="13" spans="1:256" ht="12.75" customHeight="1" x14ac:dyDescent="0.2">
      <c r="A13" s="25" t="e">
        <f>AND(#REF!,"AAAAADb76gA=")</f>
        <v>#REF!</v>
      </c>
      <c r="B13" s="25" t="e">
        <f>AND(#REF!,"AAAAADb76gE=")</f>
        <v>#REF!</v>
      </c>
      <c r="C13" s="25" t="e">
        <f>AND(#REF!,"AAAAADb76gI=")</f>
        <v>#REF!</v>
      </c>
      <c r="D13" s="25" t="e">
        <f>AND(#REF!,"AAAAADb76gM=")</f>
        <v>#REF!</v>
      </c>
      <c r="E13" s="25" t="e">
        <f>AND(#REF!,"AAAAADb76gQ=")</f>
        <v>#REF!</v>
      </c>
      <c r="F13" s="25" t="e">
        <f>AND(#REF!,"AAAAADb76gU=")</f>
        <v>#REF!</v>
      </c>
      <c r="G13" s="25" t="e">
        <f>AND(#REF!,"AAAAADb76gY=")</f>
        <v>#REF!</v>
      </c>
      <c r="H13" s="25" t="e">
        <f>AND(#REF!,"AAAAADb76gc=")</f>
        <v>#REF!</v>
      </c>
      <c r="I13" s="25" t="e">
        <f>IF(#REF!,"AAAAADb76gg=",0)</f>
        <v>#REF!</v>
      </c>
      <c r="J13" s="25" t="e">
        <f>AND(#REF!,"AAAAADb76gk=")</f>
        <v>#REF!</v>
      </c>
      <c r="K13" s="25" t="e">
        <f>AND(#REF!,"AAAAADb76go=")</f>
        <v>#REF!</v>
      </c>
      <c r="L13" s="25" t="e">
        <f>AND(#REF!,"AAAAADb76gs=")</f>
        <v>#REF!</v>
      </c>
      <c r="M13" s="25" t="e">
        <f>AND(#REF!,"AAAAADb76gw=")</f>
        <v>#REF!</v>
      </c>
      <c r="N13" s="25" t="e">
        <f>AND(#REF!,"AAAAADb76g0=")</f>
        <v>#REF!</v>
      </c>
      <c r="O13" s="25" t="e">
        <f>AND(#REF!,"AAAAADb76g4=")</f>
        <v>#REF!</v>
      </c>
      <c r="P13" s="25" t="e">
        <f>AND(#REF!,"AAAAADb76g8=")</f>
        <v>#REF!</v>
      </c>
      <c r="Q13" s="25" t="e">
        <f>AND(#REF!,"AAAAADb76hA=")</f>
        <v>#REF!</v>
      </c>
      <c r="R13" s="25" t="e">
        <f>AND(#REF!,"AAAAADb76hE=")</f>
        <v>#REF!</v>
      </c>
      <c r="S13" s="25" t="e">
        <f>AND(#REF!,"AAAAADb76hI=")</f>
        <v>#REF!</v>
      </c>
      <c r="T13" s="25" t="e">
        <f>AND(#REF!,"AAAAADb76hM=")</f>
        <v>#REF!</v>
      </c>
      <c r="U13" s="25" t="e">
        <f>AND(#REF!,"AAAAADb76hQ=")</f>
        <v>#REF!</v>
      </c>
      <c r="V13" s="25" t="e">
        <f>AND(#REF!,"AAAAADb76hU=")</f>
        <v>#REF!</v>
      </c>
      <c r="W13" s="25" t="e">
        <f>AND(#REF!,"AAAAADb76hY=")</f>
        <v>#REF!</v>
      </c>
      <c r="X13" s="25" t="e">
        <f>AND(#REF!,"AAAAADb76hc=")</f>
        <v>#REF!</v>
      </c>
      <c r="Y13" s="25" t="e">
        <f>AND(#REF!,"AAAAADb76hg=")</f>
        <v>#REF!</v>
      </c>
      <c r="Z13" s="25" t="e">
        <f>AND(#REF!,"AAAAADb76hk=")</f>
        <v>#REF!</v>
      </c>
      <c r="AA13" s="25" t="e">
        <f>AND(#REF!,"AAAAADb76ho=")</f>
        <v>#REF!</v>
      </c>
      <c r="AB13" s="25" t="e">
        <f>AND(#REF!,"AAAAADb76hs=")</f>
        <v>#REF!</v>
      </c>
      <c r="AC13" s="25" t="e">
        <f>AND(#REF!,"AAAAADb76hw=")</f>
        <v>#REF!</v>
      </c>
      <c r="AD13" s="25" t="e">
        <f>AND(#REF!,"AAAAADb76h0=")</f>
        <v>#REF!</v>
      </c>
      <c r="AE13" s="25" t="e">
        <f>IF(#REF!,"AAAAADb76h4=",0)</f>
        <v>#REF!</v>
      </c>
      <c r="AF13" s="25" t="e">
        <f>AND(#REF!,"AAAAADb76h8=")</f>
        <v>#REF!</v>
      </c>
      <c r="AG13" s="25" t="e">
        <f>AND(#REF!,"AAAAADb76iA=")</f>
        <v>#REF!</v>
      </c>
      <c r="AH13" s="25" t="e">
        <f>AND(#REF!,"AAAAADb76iE=")</f>
        <v>#REF!</v>
      </c>
      <c r="AI13" s="25" t="e">
        <f>AND(#REF!,"AAAAADb76iI=")</f>
        <v>#REF!</v>
      </c>
      <c r="AJ13" s="25" t="e">
        <f>AND(#REF!,"AAAAADb76iM=")</f>
        <v>#REF!</v>
      </c>
      <c r="AK13" s="25" t="e">
        <f>AND(#REF!,"AAAAADb76iQ=")</f>
        <v>#REF!</v>
      </c>
      <c r="AL13" s="25" t="e">
        <f>AND(#REF!,"AAAAADb76iU=")</f>
        <v>#REF!</v>
      </c>
      <c r="AM13" s="25" t="e">
        <f>AND(#REF!,"AAAAADb76iY=")</f>
        <v>#REF!</v>
      </c>
      <c r="AN13" s="25" t="e">
        <f>AND(#REF!,"AAAAADb76ic=")</f>
        <v>#REF!</v>
      </c>
      <c r="AO13" s="25" t="e">
        <f>AND(#REF!,"AAAAADb76ig=")</f>
        <v>#REF!</v>
      </c>
      <c r="AP13" s="25" t="e">
        <f>AND(#REF!,"AAAAADb76ik=")</f>
        <v>#REF!</v>
      </c>
      <c r="AQ13" s="25" t="e">
        <f>AND(#REF!,"AAAAADb76io=")</f>
        <v>#REF!</v>
      </c>
      <c r="AR13" s="25" t="e">
        <f>AND(#REF!,"AAAAADb76is=")</f>
        <v>#REF!</v>
      </c>
      <c r="AS13" s="25" t="e">
        <f>AND(#REF!,"AAAAADb76iw=")</f>
        <v>#REF!</v>
      </c>
      <c r="AT13" s="25" t="e">
        <f>AND(#REF!,"AAAAADb76i0=")</f>
        <v>#REF!</v>
      </c>
      <c r="AU13" s="25" t="e">
        <f>AND(#REF!,"AAAAADb76i4=")</f>
        <v>#REF!</v>
      </c>
      <c r="AV13" s="25" t="e">
        <f>AND(#REF!,"AAAAADb76i8=")</f>
        <v>#REF!</v>
      </c>
      <c r="AW13" s="25" t="e">
        <f>AND(#REF!,"AAAAADb76jA=")</f>
        <v>#REF!</v>
      </c>
      <c r="AX13" s="25" t="e">
        <f>AND(#REF!,"AAAAADb76jE=")</f>
        <v>#REF!</v>
      </c>
      <c r="AY13" s="25" t="e">
        <f>AND(#REF!,"AAAAADb76jI=")</f>
        <v>#REF!</v>
      </c>
      <c r="AZ13" s="25" t="e">
        <f>AND(#REF!,"AAAAADb76jM=")</f>
        <v>#REF!</v>
      </c>
      <c r="BA13" s="25" t="e">
        <f>IF(#REF!,"AAAAADb76jQ=",0)</f>
        <v>#REF!</v>
      </c>
      <c r="BB13" s="25" t="e">
        <f>AND(#REF!,"AAAAADb76jU=")</f>
        <v>#REF!</v>
      </c>
      <c r="BC13" s="25" t="e">
        <f>AND(#REF!,"AAAAADb76jY=")</f>
        <v>#REF!</v>
      </c>
      <c r="BD13" s="25" t="e">
        <f>AND(#REF!,"AAAAADb76jc=")</f>
        <v>#REF!</v>
      </c>
      <c r="BE13" s="25" t="e">
        <f>AND(#REF!,"AAAAADb76jg=")</f>
        <v>#REF!</v>
      </c>
      <c r="BF13" s="25" t="e">
        <f>AND(#REF!,"AAAAADb76jk=")</f>
        <v>#REF!</v>
      </c>
      <c r="BG13" s="25" t="e">
        <f>AND(#REF!,"AAAAADb76jo=")</f>
        <v>#REF!</v>
      </c>
      <c r="BH13" s="25" t="e">
        <f>AND(#REF!,"AAAAADb76js=")</f>
        <v>#REF!</v>
      </c>
      <c r="BI13" s="25" t="e">
        <f>AND(#REF!,"AAAAADb76jw=")</f>
        <v>#REF!</v>
      </c>
      <c r="BJ13" s="25" t="e">
        <f>AND(#REF!,"AAAAADb76j0=")</f>
        <v>#REF!</v>
      </c>
      <c r="BK13" s="25" t="e">
        <f>AND(#REF!,"AAAAADb76j4=")</f>
        <v>#REF!</v>
      </c>
      <c r="BL13" s="25" t="e">
        <f>AND(#REF!,"AAAAADb76j8=")</f>
        <v>#REF!</v>
      </c>
      <c r="BM13" s="25" t="e">
        <f>AND(#REF!,"AAAAADb76kA=")</f>
        <v>#REF!</v>
      </c>
      <c r="BN13" s="25" t="e">
        <f>AND(#REF!,"AAAAADb76kE=")</f>
        <v>#REF!</v>
      </c>
      <c r="BO13" s="25" t="e">
        <f>AND(#REF!,"AAAAADb76kI=")</f>
        <v>#REF!</v>
      </c>
      <c r="BP13" s="25" t="e">
        <f>AND(#REF!,"AAAAADb76kM=")</f>
        <v>#REF!</v>
      </c>
      <c r="BQ13" s="25" t="e">
        <f>AND(#REF!,"AAAAADb76kQ=")</f>
        <v>#REF!</v>
      </c>
      <c r="BR13" s="25" t="e">
        <f>AND(#REF!,"AAAAADb76kU=")</f>
        <v>#REF!</v>
      </c>
      <c r="BS13" s="25" t="e">
        <f>AND(#REF!,"AAAAADb76kY=")</f>
        <v>#REF!</v>
      </c>
      <c r="BT13" s="25" t="e">
        <f>AND(#REF!,"AAAAADb76kc=")</f>
        <v>#REF!</v>
      </c>
      <c r="BU13" s="25" t="e">
        <f>AND(#REF!,"AAAAADb76kg=")</f>
        <v>#REF!</v>
      </c>
      <c r="BV13" s="25" t="e">
        <f>AND(#REF!,"AAAAADb76kk=")</f>
        <v>#REF!</v>
      </c>
      <c r="BW13" s="25" t="e">
        <f>IF(#REF!,"AAAAADb76ko=",0)</f>
        <v>#REF!</v>
      </c>
      <c r="BX13" s="25" t="e">
        <f>AND(#REF!,"AAAAADb76ks=")</f>
        <v>#REF!</v>
      </c>
      <c r="BY13" s="25" t="e">
        <f>AND(#REF!,"AAAAADb76kw=")</f>
        <v>#REF!</v>
      </c>
      <c r="BZ13" s="25" t="e">
        <f>AND(#REF!,"AAAAADb76k0=")</f>
        <v>#REF!</v>
      </c>
      <c r="CA13" s="25" t="e">
        <f>AND(#REF!,"AAAAADb76k4=")</f>
        <v>#REF!</v>
      </c>
      <c r="CB13" s="25" t="e">
        <f>AND(#REF!,"AAAAADb76k8=")</f>
        <v>#REF!</v>
      </c>
      <c r="CC13" s="25" t="e">
        <f>AND(#REF!,"AAAAADb76lA=")</f>
        <v>#REF!</v>
      </c>
      <c r="CD13" s="25" t="e">
        <f>AND(#REF!,"AAAAADb76lE=")</f>
        <v>#REF!</v>
      </c>
      <c r="CE13" s="25" t="e">
        <f>AND(#REF!,"AAAAADb76lI=")</f>
        <v>#REF!</v>
      </c>
      <c r="CF13" s="25" t="e">
        <f>AND(#REF!,"AAAAADb76lM=")</f>
        <v>#REF!</v>
      </c>
      <c r="CG13" s="25" t="e">
        <f>AND(#REF!,"AAAAADb76lQ=")</f>
        <v>#REF!</v>
      </c>
      <c r="CH13" s="25" t="e">
        <f>AND(#REF!,"AAAAADb76lU=")</f>
        <v>#REF!</v>
      </c>
      <c r="CI13" s="25" t="e">
        <f>AND(#REF!,"AAAAADb76lY=")</f>
        <v>#REF!</v>
      </c>
      <c r="CJ13" s="25" t="e">
        <f>AND(#REF!,"AAAAADb76lc=")</f>
        <v>#REF!</v>
      </c>
      <c r="CK13" s="25" t="e">
        <f>AND(#REF!,"AAAAADb76lg=")</f>
        <v>#REF!</v>
      </c>
      <c r="CL13" s="25" t="e">
        <f>AND(#REF!,"AAAAADb76lk=")</f>
        <v>#REF!</v>
      </c>
      <c r="CM13" s="25" t="e">
        <f>AND(#REF!,"AAAAADb76lo=")</f>
        <v>#REF!</v>
      </c>
      <c r="CN13" s="25" t="e">
        <f>AND(#REF!,"AAAAADb76ls=")</f>
        <v>#REF!</v>
      </c>
      <c r="CO13" s="25" t="e">
        <f>AND(#REF!,"AAAAADb76lw=")</f>
        <v>#REF!</v>
      </c>
      <c r="CP13" s="25" t="e">
        <f>AND(#REF!,"AAAAADb76l0=")</f>
        <v>#REF!</v>
      </c>
      <c r="CQ13" s="25" t="e">
        <f>AND(#REF!,"AAAAADb76l4=")</f>
        <v>#REF!</v>
      </c>
      <c r="CR13" s="25" t="e">
        <f>AND(#REF!,"AAAAADb76l8=")</f>
        <v>#REF!</v>
      </c>
      <c r="CS13" s="25" t="e">
        <f>IF(#REF!,"AAAAADb76mA=",0)</f>
        <v>#REF!</v>
      </c>
      <c r="CT13" s="25" t="e">
        <f>AND(#REF!,"AAAAADb76mE=")</f>
        <v>#REF!</v>
      </c>
      <c r="CU13" s="25" t="e">
        <f>AND(#REF!,"AAAAADb76mI=")</f>
        <v>#REF!</v>
      </c>
      <c r="CV13" s="25" t="e">
        <f>AND(#REF!,"AAAAADb76mM=")</f>
        <v>#REF!</v>
      </c>
      <c r="CW13" s="25" t="e">
        <f>AND(#REF!,"AAAAADb76mQ=")</f>
        <v>#REF!</v>
      </c>
      <c r="CX13" s="25" t="e">
        <f>AND(#REF!,"AAAAADb76mU=")</f>
        <v>#REF!</v>
      </c>
      <c r="CY13" s="25" t="e">
        <f>AND(#REF!,"AAAAADb76mY=")</f>
        <v>#REF!</v>
      </c>
      <c r="CZ13" s="25" t="e">
        <f>AND(#REF!,"AAAAADb76mc=")</f>
        <v>#REF!</v>
      </c>
      <c r="DA13" s="25" t="e">
        <f>AND(#REF!,"AAAAADb76mg=")</f>
        <v>#REF!</v>
      </c>
      <c r="DB13" s="25" t="e">
        <f>AND(#REF!,"AAAAADb76mk=")</f>
        <v>#REF!</v>
      </c>
      <c r="DC13" s="25" t="e">
        <f>AND(#REF!,"AAAAADb76mo=")</f>
        <v>#REF!</v>
      </c>
      <c r="DD13" s="25" t="e">
        <f>AND(#REF!,"AAAAADb76ms=")</f>
        <v>#REF!</v>
      </c>
      <c r="DE13" s="25" t="e">
        <f>AND(#REF!,"AAAAADb76mw=")</f>
        <v>#REF!</v>
      </c>
      <c r="DF13" s="25" t="e">
        <f>AND(#REF!,"AAAAADb76m0=")</f>
        <v>#REF!</v>
      </c>
      <c r="DG13" s="25" t="e">
        <f>AND(#REF!,"AAAAADb76m4=")</f>
        <v>#REF!</v>
      </c>
      <c r="DH13" s="25" t="e">
        <f>AND(#REF!,"AAAAADb76m8=")</f>
        <v>#REF!</v>
      </c>
      <c r="DI13" s="25" t="e">
        <f>AND(#REF!,"AAAAADb76nA=")</f>
        <v>#REF!</v>
      </c>
      <c r="DJ13" s="25" t="e">
        <f>AND(#REF!,"AAAAADb76nE=")</f>
        <v>#REF!</v>
      </c>
      <c r="DK13" s="25" t="e">
        <f>AND(#REF!,"AAAAADb76nI=")</f>
        <v>#REF!</v>
      </c>
      <c r="DL13" s="25" t="e">
        <f>AND(#REF!,"AAAAADb76nM=")</f>
        <v>#REF!</v>
      </c>
      <c r="DM13" s="25" t="e">
        <f>AND(#REF!,"AAAAADb76nQ=")</f>
        <v>#REF!</v>
      </c>
      <c r="DN13" s="25" t="e">
        <f>AND(#REF!,"AAAAADb76nU=")</f>
        <v>#REF!</v>
      </c>
      <c r="DO13" s="25" t="e">
        <f>IF(#REF!,"AAAAADb76nY=",0)</f>
        <v>#REF!</v>
      </c>
      <c r="DP13" s="25" t="e">
        <f>AND(#REF!,"AAAAADb76nc=")</f>
        <v>#REF!</v>
      </c>
      <c r="DQ13" s="25" t="e">
        <f>AND(#REF!,"AAAAADb76ng=")</f>
        <v>#REF!</v>
      </c>
      <c r="DR13" s="25" t="e">
        <f>AND(#REF!,"AAAAADb76nk=")</f>
        <v>#REF!</v>
      </c>
      <c r="DS13" s="25" t="e">
        <f>AND(#REF!,"AAAAADb76no=")</f>
        <v>#REF!</v>
      </c>
      <c r="DT13" s="25" t="e">
        <f>AND(#REF!,"AAAAADb76ns=")</f>
        <v>#REF!</v>
      </c>
      <c r="DU13" s="25" t="e">
        <f>AND(#REF!,"AAAAADb76nw=")</f>
        <v>#REF!</v>
      </c>
      <c r="DV13" s="25" t="e">
        <f>AND(#REF!,"AAAAADb76n0=")</f>
        <v>#REF!</v>
      </c>
      <c r="DW13" s="25" t="e">
        <f>AND(#REF!,"AAAAADb76n4=")</f>
        <v>#REF!</v>
      </c>
      <c r="DX13" s="25" t="e">
        <f>AND(#REF!,"AAAAADb76n8=")</f>
        <v>#REF!</v>
      </c>
      <c r="DY13" s="25" t="e">
        <f>AND(#REF!,"AAAAADb76oA=")</f>
        <v>#REF!</v>
      </c>
      <c r="DZ13" s="25" t="e">
        <f>AND(#REF!,"AAAAADb76oE=")</f>
        <v>#REF!</v>
      </c>
      <c r="EA13" s="25" t="e">
        <f>AND(#REF!,"AAAAADb76oI=")</f>
        <v>#REF!</v>
      </c>
      <c r="EB13" s="25" t="e">
        <f>AND(#REF!,"AAAAADb76oM=")</f>
        <v>#REF!</v>
      </c>
      <c r="EC13" s="25" t="e">
        <f>AND(#REF!,"AAAAADb76oQ=")</f>
        <v>#REF!</v>
      </c>
      <c r="ED13" s="25" t="e">
        <f>AND(#REF!,"AAAAADb76oU=")</f>
        <v>#REF!</v>
      </c>
      <c r="EE13" s="25" t="e">
        <f>AND(#REF!,"AAAAADb76oY=")</f>
        <v>#REF!</v>
      </c>
      <c r="EF13" s="25" t="e">
        <f>AND(#REF!,"AAAAADb76oc=")</f>
        <v>#REF!</v>
      </c>
      <c r="EG13" s="25" t="e">
        <f>AND(#REF!,"AAAAADb76og=")</f>
        <v>#REF!</v>
      </c>
      <c r="EH13" s="25" t="e">
        <f>AND(#REF!,"AAAAADb76ok=")</f>
        <v>#REF!</v>
      </c>
      <c r="EI13" s="25" t="e">
        <f>AND(#REF!,"AAAAADb76oo=")</f>
        <v>#REF!</v>
      </c>
      <c r="EJ13" s="25" t="e">
        <f>AND(#REF!,"AAAAADb76os=")</f>
        <v>#REF!</v>
      </c>
      <c r="EK13" s="25" t="e">
        <f>IF(#REF!,"AAAAADb76ow=",0)</f>
        <v>#REF!</v>
      </c>
      <c r="EL13" s="25" t="e">
        <f>AND(#REF!,"AAAAADb76o0=")</f>
        <v>#REF!</v>
      </c>
      <c r="EM13" s="25" t="e">
        <f>AND(#REF!,"AAAAADb76o4=")</f>
        <v>#REF!</v>
      </c>
      <c r="EN13" s="25" t="e">
        <f>AND(#REF!,"AAAAADb76o8=")</f>
        <v>#REF!</v>
      </c>
      <c r="EO13" s="25" t="e">
        <f>AND(#REF!,"AAAAADb76pA=")</f>
        <v>#REF!</v>
      </c>
      <c r="EP13" s="25" t="e">
        <f>AND(#REF!,"AAAAADb76pE=")</f>
        <v>#REF!</v>
      </c>
      <c r="EQ13" s="25" t="e">
        <f>AND(#REF!,"AAAAADb76pI=")</f>
        <v>#REF!</v>
      </c>
      <c r="ER13" s="25" t="e">
        <f>AND(#REF!,"AAAAADb76pM=")</f>
        <v>#REF!</v>
      </c>
      <c r="ES13" s="25" t="e">
        <f>AND(#REF!,"AAAAADb76pQ=")</f>
        <v>#REF!</v>
      </c>
      <c r="ET13" s="25" t="e">
        <f>AND(#REF!,"AAAAADb76pU=")</f>
        <v>#REF!</v>
      </c>
      <c r="EU13" s="25" t="e">
        <f>AND(#REF!,"AAAAADb76pY=")</f>
        <v>#REF!</v>
      </c>
      <c r="EV13" s="25" t="e">
        <f>AND(#REF!,"AAAAADb76pc=")</f>
        <v>#REF!</v>
      </c>
      <c r="EW13" s="25" t="e">
        <f>AND(#REF!,"AAAAADb76pg=")</f>
        <v>#REF!</v>
      </c>
      <c r="EX13" s="25" t="e">
        <f>AND(#REF!,"AAAAADb76pk=")</f>
        <v>#REF!</v>
      </c>
      <c r="EY13" s="25" t="e">
        <f>AND(#REF!,"AAAAADb76po=")</f>
        <v>#REF!</v>
      </c>
      <c r="EZ13" s="25" t="e">
        <f>AND(#REF!,"AAAAADb76ps=")</f>
        <v>#REF!</v>
      </c>
      <c r="FA13" s="25" t="e">
        <f>AND(#REF!,"AAAAADb76pw=")</f>
        <v>#REF!</v>
      </c>
      <c r="FB13" s="25" t="e">
        <f>AND(#REF!,"AAAAADb76p0=")</f>
        <v>#REF!</v>
      </c>
      <c r="FC13" s="25" t="e">
        <f>AND(#REF!,"AAAAADb76p4=")</f>
        <v>#REF!</v>
      </c>
      <c r="FD13" s="25" t="e">
        <f>AND(#REF!,"AAAAADb76p8=")</f>
        <v>#REF!</v>
      </c>
      <c r="FE13" s="25" t="e">
        <f>AND(#REF!,"AAAAADb76qA=")</f>
        <v>#REF!</v>
      </c>
      <c r="FF13" s="25" t="e">
        <f>AND(#REF!,"AAAAADb76qE=")</f>
        <v>#REF!</v>
      </c>
      <c r="FG13" s="25" t="e">
        <f>IF(#REF!,"AAAAADb76qI=",0)</f>
        <v>#REF!</v>
      </c>
      <c r="FH13" s="25" t="e">
        <f>AND(#REF!,"AAAAADb76qM=")</f>
        <v>#REF!</v>
      </c>
      <c r="FI13" s="25" t="e">
        <f>AND(#REF!,"AAAAADb76qQ=")</f>
        <v>#REF!</v>
      </c>
      <c r="FJ13" s="25" t="e">
        <f>AND(#REF!,"AAAAADb76qU=")</f>
        <v>#REF!</v>
      </c>
      <c r="FK13" s="25" t="e">
        <f>AND(#REF!,"AAAAADb76qY=")</f>
        <v>#REF!</v>
      </c>
      <c r="FL13" s="25" t="e">
        <f>AND(#REF!,"AAAAADb76qc=")</f>
        <v>#REF!</v>
      </c>
      <c r="FM13" s="25" t="e">
        <f>AND(#REF!,"AAAAADb76qg=")</f>
        <v>#REF!</v>
      </c>
      <c r="FN13" s="25" t="e">
        <f>AND(#REF!,"AAAAADb76qk=")</f>
        <v>#REF!</v>
      </c>
      <c r="FO13" s="25" t="e">
        <f>AND(#REF!,"AAAAADb76qo=")</f>
        <v>#REF!</v>
      </c>
      <c r="FP13" s="25" t="e">
        <f>AND(#REF!,"AAAAADb76qs=")</f>
        <v>#REF!</v>
      </c>
      <c r="FQ13" s="25" t="e">
        <f>AND(#REF!,"AAAAADb76qw=")</f>
        <v>#REF!</v>
      </c>
      <c r="FR13" s="25" t="e">
        <f>AND(#REF!,"AAAAADb76q0=")</f>
        <v>#REF!</v>
      </c>
      <c r="FS13" s="25" t="e">
        <f>AND(#REF!,"AAAAADb76q4=")</f>
        <v>#REF!</v>
      </c>
      <c r="FT13" s="25" t="e">
        <f>AND(#REF!,"AAAAADb76q8=")</f>
        <v>#REF!</v>
      </c>
      <c r="FU13" s="25" t="e">
        <f>AND(#REF!,"AAAAADb76rA=")</f>
        <v>#REF!</v>
      </c>
      <c r="FV13" s="25" t="e">
        <f>AND(#REF!,"AAAAADb76rE=")</f>
        <v>#REF!</v>
      </c>
      <c r="FW13" s="25" t="e">
        <f>AND(#REF!,"AAAAADb76rI=")</f>
        <v>#REF!</v>
      </c>
      <c r="FX13" s="25" t="e">
        <f>AND(#REF!,"AAAAADb76rM=")</f>
        <v>#REF!</v>
      </c>
      <c r="FY13" s="25" t="e">
        <f>AND(#REF!,"AAAAADb76rQ=")</f>
        <v>#REF!</v>
      </c>
      <c r="FZ13" s="25" t="e">
        <f>AND(#REF!,"AAAAADb76rU=")</f>
        <v>#REF!</v>
      </c>
      <c r="GA13" s="25" t="e">
        <f>AND(#REF!,"AAAAADb76rY=")</f>
        <v>#REF!</v>
      </c>
      <c r="GB13" s="25" t="e">
        <f>AND(#REF!,"AAAAADb76rc=")</f>
        <v>#REF!</v>
      </c>
      <c r="GC13" s="25" t="e">
        <f>IF(#REF!,"AAAAADb76rg=",0)</f>
        <v>#REF!</v>
      </c>
      <c r="GD13" s="25" t="e">
        <f>AND(#REF!,"AAAAADb76rk=")</f>
        <v>#REF!</v>
      </c>
      <c r="GE13" s="25" t="e">
        <f>AND(#REF!,"AAAAADb76ro=")</f>
        <v>#REF!</v>
      </c>
      <c r="GF13" s="25" t="e">
        <f>AND(#REF!,"AAAAADb76rs=")</f>
        <v>#REF!</v>
      </c>
      <c r="GG13" s="25" t="e">
        <f>AND(#REF!,"AAAAADb76rw=")</f>
        <v>#REF!</v>
      </c>
      <c r="GH13" s="25" t="e">
        <f>AND(#REF!,"AAAAADb76r0=")</f>
        <v>#REF!</v>
      </c>
      <c r="GI13" s="25" t="e">
        <f>AND(#REF!,"AAAAADb76r4=")</f>
        <v>#REF!</v>
      </c>
      <c r="GJ13" s="25" t="e">
        <f>AND(#REF!,"AAAAADb76r8=")</f>
        <v>#REF!</v>
      </c>
      <c r="GK13" s="25" t="e">
        <f>AND(#REF!,"AAAAADb76sA=")</f>
        <v>#REF!</v>
      </c>
      <c r="GL13" s="25" t="e">
        <f>AND(#REF!,"AAAAADb76sE=")</f>
        <v>#REF!</v>
      </c>
      <c r="GM13" s="25" t="e">
        <f>AND(#REF!,"AAAAADb76sI=")</f>
        <v>#REF!</v>
      </c>
      <c r="GN13" s="25" t="e">
        <f>AND(#REF!,"AAAAADb76sM=")</f>
        <v>#REF!</v>
      </c>
      <c r="GO13" s="25" t="e">
        <f>AND(#REF!,"AAAAADb76sQ=")</f>
        <v>#REF!</v>
      </c>
      <c r="GP13" s="25" t="e">
        <f>AND(#REF!,"AAAAADb76sU=")</f>
        <v>#REF!</v>
      </c>
      <c r="GQ13" s="25" t="e">
        <f>AND(#REF!,"AAAAADb76sY=")</f>
        <v>#REF!</v>
      </c>
      <c r="GR13" s="25" t="e">
        <f>AND(#REF!,"AAAAADb76sc=")</f>
        <v>#REF!</v>
      </c>
      <c r="GS13" s="25" t="e">
        <f>AND(#REF!,"AAAAADb76sg=")</f>
        <v>#REF!</v>
      </c>
      <c r="GT13" s="25" t="e">
        <f>AND(#REF!,"AAAAADb76sk=")</f>
        <v>#REF!</v>
      </c>
      <c r="GU13" s="25" t="e">
        <f>AND(#REF!,"AAAAADb76so=")</f>
        <v>#REF!</v>
      </c>
      <c r="GV13" s="25" t="e">
        <f>AND(#REF!,"AAAAADb76ss=")</f>
        <v>#REF!</v>
      </c>
      <c r="GW13" s="25" t="e">
        <f>AND(#REF!,"AAAAADb76sw=")</f>
        <v>#REF!</v>
      </c>
      <c r="GX13" s="25" t="e">
        <f>AND(#REF!,"AAAAADb76s0=")</f>
        <v>#REF!</v>
      </c>
      <c r="GY13" s="25" t="e">
        <f>IF(#REF!,"AAAAADb76s4=",0)</f>
        <v>#REF!</v>
      </c>
      <c r="GZ13" s="25" t="e">
        <f>AND(#REF!,"AAAAADb76s8=")</f>
        <v>#REF!</v>
      </c>
      <c r="HA13" s="25" t="e">
        <f>AND(#REF!,"AAAAADb76tA=")</f>
        <v>#REF!</v>
      </c>
      <c r="HB13" s="25" t="e">
        <f>AND(#REF!,"AAAAADb76tE=")</f>
        <v>#REF!</v>
      </c>
      <c r="HC13" s="25" t="e">
        <f>AND(#REF!,"AAAAADb76tI=")</f>
        <v>#REF!</v>
      </c>
      <c r="HD13" s="25" t="e">
        <f>AND(#REF!,"AAAAADb76tM=")</f>
        <v>#REF!</v>
      </c>
      <c r="HE13" s="25" t="e">
        <f>AND(#REF!,"AAAAADb76tQ=")</f>
        <v>#REF!</v>
      </c>
      <c r="HF13" s="25" t="e">
        <f>AND(#REF!,"AAAAADb76tU=")</f>
        <v>#REF!</v>
      </c>
      <c r="HG13" s="25" t="e">
        <f>AND(#REF!,"AAAAADb76tY=")</f>
        <v>#REF!</v>
      </c>
      <c r="HH13" s="25" t="e">
        <f>AND(#REF!,"AAAAADb76tc=")</f>
        <v>#REF!</v>
      </c>
      <c r="HI13" s="25" t="e">
        <f>AND(#REF!,"AAAAADb76tg=")</f>
        <v>#REF!</v>
      </c>
      <c r="HJ13" s="25" t="e">
        <f>AND(#REF!,"AAAAADb76tk=")</f>
        <v>#REF!</v>
      </c>
      <c r="HK13" s="25" t="e">
        <f>AND(#REF!,"AAAAADb76to=")</f>
        <v>#REF!</v>
      </c>
      <c r="HL13" s="25" t="e">
        <f>AND(#REF!,"AAAAADb76ts=")</f>
        <v>#REF!</v>
      </c>
      <c r="HM13" s="25" t="e">
        <f>AND(#REF!,"AAAAADb76tw=")</f>
        <v>#REF!</v>
      </c>
      <c r="HN13" s="25" t="e">
        <f>AND(#REF!,"AAAAADb76t0=")</f>
        <v>#REF!</v>
      </c>
      <c r="HO13" s="25" t="e">
        <f>AND(#REF!,"AAAAADb76t4=")</f>
        <v>#REF!</v>
      </c>
      <c r="HP13" s="25" t="e">
        <f>AND(#REF!,"AAAAADb76t8=")</f>
        <v>#REF!</v>
      </c>
      <c r="HQ13" s="25" t="e">
        <f>AND(#REF!,"AAAAADb76uA=")</f>
        <v>#REF!</v>
      </c>
      <c r="HR13" s="25" t="e">
        <f>AND(#REF!,"AAAAADb76uE=")</f>
        <v>#REF!</v>
      </c>
      <c r="HS13" s="25" t="e">
        <f>AND(#REF!,"AAAAADb76uI=")</f>
        <v>#REF!</v>
      </c>
      <c r="HT13" s="25" t="e">
        <f>AND(#REF!,"AAAAADb76uM=")</f>
        <v>#REF!</v>
      </c>
      <c r="HU13" s="25" t="e">
        <f>IF(#REF!,"AAAAADb76uQ=",0)</f>
        <v>#REF!</v>
      </c>
      <c r="HV13" s="25" t="e">
        <f>AND(#REF!,"AAAAADb76uU=")</f>
        <v>#REF!</v>
      </c>
      <c r="HW13" s="25" t="e">
        <f>AND(#REF!,"AAAAADb76uY=")</f>
        <v>#REF!</v>
      </c>
      <c r="HX13" s="25" t="e">
        <f>AND(#REF!,"AAAAADb76uc=")</f>
        <v>#REF!</v>
      </c>
      <c r="HY13" s="25" t="e">
        <f>AND(#REF!,"AAAAADb76ug=")</f>
        <v>#REF!</v>
      </c>
      <c r="HZ13" s="25" t="e">
        <f>AND(#REF!,"AAAAADb76uk=")</f>
        <v>#REF!</v>
      </c>
      <c r="IA13" s="25" t="e">
        <f>AND(#REF!,"AAAAADb76uo=")</f>
        <v>#REF!</v>
      </c>
      <c r="IB13" s="25" t="e">
        <f>AND(#REF!,"AAAAADb76us=")</f>
        <v>#REF!</v>
      </c>
      <c r="IC13" s="25" t="e">
        <f>AND(#REF!,"AAAAADb76uw=")</f>
        <v>#REF!</v>
      </c>
      <c r="ID13" s="25" t="e">
        <f>AND(#REF!,"AAAAADb76u0=")</f>
        <v>#REF!</v>
      </c>
      <c r="IE13" s="25" t="e">
        <f>AND(#REF!,"AAAAADb76u4=")</f>
        <v>#REF!</v>
      </c>
      <c r="IF13" s="25" t="e">
        <f>AND(#REF!,"AAAAADb76u8=")</f>
        <v>#REF!</v>
      </c>
      <c r="IG13" s="25" t="e">
        <f>AND(#REF!,"AAAAADb76vA=")</f>
        <v>#REF!</v>
      </c>
      <c r="IH13" s="25" t="e">
        <f>AND(#REF!,"AAAAADb76vE=")</f>
        <v>#REF!</v>
      </c>
      <c r="II13" s="25" t="e">
        <f>AND(#REF!,"AAAAADb76vI=")</f>
        <v>#REF!</v>
      </c>
      <c r="IJ13" s="25" t="e">
        <f>AND(#REF!,"AAAAADb76vM=")</f>
        <v>#REF!</v>
      </c>
      <c r="IK13" s="25" t="e">
        <f>AND(#REF!,"AAAAADb76vQ=")</f>
        <v>#REF!</v>
      </c>
      <c r="IL13" s="25" t="e">
        <f>AND(#REF!,"AAAAADb76vU=")</f>
        <v>#REF!</v>
      </c>
      <c r="IM13" s="25" t="e">
        <f>AND(#REF!,"AAAAADb76vY=")</f>
        <v>#REF!</v>
      </c>
      <c r="IN13" s="25" t="e">
        <f>AND(#REF!,"AAAAADb76vc=")</f>
        <v>#REF!</v>
      </c>
      <c r="IO13" s="25" t="e">
        <f>AND(#REF!,"AAAAADb76vg=")</f>
        <v>#REF!</v>
      </c>
      <c r="IP13" s="25" t="e">
        <f>AND(#REF!,"AAAAADb76vk=")</f>
        <v>#REF!</v>
      </c>
      <c r="IQ13" s="25" t="e">
        <f>IF(#REF!,"AAAAADb76vo=",0)</f>
        <v>#REF!</v>
      </c>
      <c r="IR13" s="25" t="e">
        <f>AND(#REF!,"AAAAADb76vs=")</f>
        <v>#REF!</v>
      </c>
      <c r="IS13" s="25" t="e">
        <f>AND(#REF!,"AAAAADb76vw=")</f>
        <v>#REF!</v>
      </c>
      <c r="IT13" s="25" t="e">
        <f>AND(#REF!,"AAAAADb76v0=")</f>
        <v>#REF!</v>
      </c>
      <c r="IU13" s="25" t="e">
        <f>AND(#REF!,"AAAAADb76v4=")</f>
        <v>#REF!</v>
      </c>
      <c r="IV13" s="25" t="e">
        <f>AND(#REF!,"AAAAADb76v8=")</f>
        <v>#REF!</v>
      </c>
    </row>
    <row r="14" spans="1:256" ht="12.75" customHeight="1" x14ac:dyDescent="0.2">
      <c r="A14" s="25" t="e">
        <f>AND(#REF!,"AAAAAHtd/AA=")</f>
        <v>#REF!</v>
      </c>
      <c r="B14" s="25" t="e">
        <f>AND(#REF!,"AAAAAHtd/AE=")</f>
        <v>#REF!</v>
      </c>
      <c r="C14" s="25" t="e">
        <f>AND(#REF!,"AAAAAHtd/AI=")</f>
        <v>#REF!</v>
      </c>
      <c r="D14" s="25" t="e">
        <f>AND(#REF!,"AAAAAHtd/AM=")</f>
        <v>#REF!</v>
      </c>
      <c r="E14" s="25" t="e">
        <f>AND(#REF!,"AAAAAHtd/AQ=")</f>
        <v>#REF!</v>
      </c>
      <c r="F14" s="25" t="e">
        <f>AND(#REF!,"AAAAAHtd/AU=")</f>
        <v>#REF!</v>
      </c>
      <c r="G14" s="25" t="e">
        <f>AND(#REF!,"AAAAAHtd/AY=")</f>
        <v>#REF!</v>
      </c>
      <c r="H14" s="25" t="e">
        <f>AND(#REF!,"AAAAAHtd/Ac=")</f>
        <v>#REF!</v>
      </c>
      <c r="I14" s="25" t="e">
        <f>AND(#REF!,"AAAAAHtd/Ag=")</f>
        <v>#REF!</v>
      </c>
      <c r="J14" s="25" t="e">
        <f>AND(#REF!,"AAAAAHtd/Ak=")</f>
        <v>#REF!</v>
      </c>
      <c r="K14" s="25" t="e">
        <f>AND(#REF!,"AAAAAHtd/Ao=")</f>
        <v>#REF!</v>
      </c>
      <c r="L14" s="25" t="e">
        <f>AND(#REF!,"AAAAAHtd/As=")</f>
        <v>#REF!</v>
      </c>
      <c r="M14" s="25" t="e">
        <f>AND(#REF!,"AAAAAHtd/Aw=")</f>
        <v>#REF!</v>
      </c>
      <c r="N14" s="25" t="e">
        <f>AND(#REF!,"AAAAAHtd/A0=")</f>
        <v>#REF!</v>
      </c>
      <c r="O14" s="25" t="e">
        <f>AND(#REF!,"AAAAAHtd/A4=")</f>
        <v>#REF!</v>
      </c>
      <c r="P14" s="25" t="e">
        <f>AND(#REF!,"AAAAAHtd/A8=")</f>
        <v>#REF!</v>
      </c>
      <c r="Q14" s="25" t="e">
        <f>IF(#REF!,"AAAAAHtd/BA=",0)</f>
        <v>#REF!</v>
      </c>
      <c r="R14" s="25" t="e">
        <f>AND(#REF!,"AAAAAHtd/BE=")</f>
        <v>#REF!</v>
      </c>
      <c r="S14" s="25" t="e">
        <f>AND(#REF!,"AAAAAHtd/BI=")</f>
        <v>#REF!</v>
      </c>
      <c r="T14" s="25" t="e">
        <f>AND(#REF!,"AAAAAHtd/BM=")</f>
        <v>#REF!</v>
      </c>
      <c r="U14" s="25" t="e">
        <f>AND(#REF!,"AAAAAHtd/BQ=")</f>
        <v>#REF!</v>
      </c>
      <c r="V14" s="25" t="e">
        <f>AND(#REF!,"AAAAAHtd/BU=")</f>
        <v>#REF!</v>
      </c>
      <c r="W14" s="25" t="e">
        <f>AND(#REF!,"AAAAAHtd/BY=")</f>
        <v>#REF!</v>
      </c>
      <c r="X14" s="25" t="e">
        <f>AND(#REF!,"AAAAAHtd/Bc=")</f>
        <v>#REF!</v>
      </c>
      <c r="Y14" s="25" t="e">
        <f>AND(#REF!,"AAAAAHtd/Bg=")</f>
        <v>#REF!</v>
      </c>
      <c r="Z14" s="25" t="e">
        <f>AND(#REF!,"AAAAAHtd/Bk=")</f>
        <v>#REF!</v>
      </c>
      <c r="AA14" s="25" t="e">
        <f>AND(#REF!,"AAAAAHtd/Bo=")</f>
        <v>#REF!</v>
      </c>
      <c r="AB14" s="25" t="e">
        <f>AND(#REF!,"AAAAAHtd/Bs=")</f>
        <v>#REF!</v>
      </c>
      <c r="AC14" s="25" t="e">
        <f>AND(#REF!,"AAAAAHtd/Bw=")</f>
        <v>#REF!</v>
      </c>
      <c r="AD14" s="25" t="e">
        <f>AND(#REF!,"AAAAAHtd/B0=")</f>
        <v>#REF!</v>
      </c>
      <c r="AE14" s="25" t="e">
        <f>AND(#REF!,"AAAAAHtd/B4=")</f>
        <v>#REF!</v>
      </c>
      <c r="AF14" s="25" t="e">
        <f>AND(#REF!,"AAAAAHtd/B8=")</f>
        <v>#REF!</v>
      </c>
      <c r="AG14" s="25" t="e">
        <f>AND(#REF!,"AAAAAHtd/CA=")</f>
        <v>#REF!</v>
      </c>
      <c r="AH14" s="25" t="e">
        <f>AND(#REF!,"AAAAAHtd/CE=")</f>
        <v>#REF!</v>
      </c>
      <c r="AI14" s="25" t="e">
        <f>AND(#REF!,"AAAAAHtd/CI=")</f>
        <v>#REF!</v>
      </c>
      <c r="AJ14" s="25" t="e">
        <f>AND(#REF!,"AAAAAHtd/CM=")</f>
        <v>#REF!</v>
      </c>
      <c r="AK14" s="25" t="e">
        <f>AND(#REF!,"AAAAAHtd/CQ=")</f>
        <v>#REF!</v>
      </c>
      <c r="AL14" s="25" t="e">
        <f>AND(#REF!,"AAAAAHtd/CU=")</f>
        <v>#REF!</v>
      </c>
      <c r="AM14" s="25" t="e">
        <f>IF(#REF!,"AAAAAHtd/CY=",0)</f>
        <v>#REF!</v>
      </c>
      <c r="AN14" s="25" t="e">
        <f>AND(#REF!,"AAAAAHtd/Cc=")</f>
        <v>#REF!</v>
      </c>
      <c r="AO14" s="25" t="e">
        <f>AND(#REF!,"AAAAAHtd/Cg=")</f>
        <v>#REF!</v>
      </c>
      <c r="AP14" s="25" t="e">
        <f>AND(#REF!,"AAAAAHtd/Ck=")</f>
        <v>#REF!</v>
      </c>
      <c r="AQ14" s="25" t="e">
        <f>AND(#REF!,"AAAAAHtd/Co=")</f>
        <v>#REF!</v>
      </c>
      <c r="AR14" s="25" t="e">
        <f>AND(#REF!,"AAAAAHtd/Cs=")</f>
        <v>#REF!</v>
      </c>
      <c r="AS14" s="25" t="e">
        <f>AND(#REF!,"AAAAAHtd/Cw=")</f>
        <v>#REF!</v>
      </c>
      <c r="AT14" s="25" t="e">
        <f>AND(#REF!,"AAAAAHtd/C0=")</f>
        <v>#REF!</v>
      </c>
      <c r="AU14" s="25" t="e">
        <f>AND(#REF!,"AAAAAHtd/C4=")</f>
        <v>#REF!</v>
      </c>
      <c r="AV14" s="25" t="e">
        <f>AND(#REF!,"AAAAAHtd/C8=")</f>
        <v>#REF!</v>
      </c>
      <c r="AW14" s="25" t="e">
        <f>AND(#REF!,"AAAAAHtd/DA=")</f>
        <v>#REF!</v>
      </c>
      <c r="AX14" s="25" t="e">
        <f>AND(#REF!,"AAAAAHtd/DE=")</f>
        <v>#REF!</v>
      </c>
      <c r="AY14" s="25" t="e">
        <f>AND(#REF!,"AAAAAHtd/DI=")</f>
        <v>#REF!</v>
      </c>
      <c r="AZ14" s="25" t="e">
        <f>AND(#REF!,"AAAAAHtd/DM=")</f>
        <v>#REF!</v>
      </c>
      <c r="BA14" s="25" t="e">
        <f>AND(#REF!,"AAAAAHtd/DQ=")</f>
        <v>#REF!</v>
      </c>
      <c r="BB14" s="25" t="e">
        <f>AND(#REF!,"AAAAAHtd/DU=")</f>
        <v>#REF!</v>
      </c>
      <c r="BC14" s="25" t="e">
        <f>AND(#REF!,"AAAAAHtd/DY=")</f>
        <v>#REF!</v>
      </c>
      <c r="BD14" s="25" t="e">
        <f>AND(#REF!,"AAAAAHtd/Dc=")</f>
        <v>#REF!</v>
      </c>
      <c r="BE14" s="25" t="e">
        <f>AND(#REF!,"AAAAAHtd/Dg=")</f>
        <v>#REF!</v>
      </c>
      <c r="BF14" s="25" t="e">
        <f>AND(#REF!,"AAAAAHtd/Dk=")</f>
        <v>#REF!</v>
      </c>
      <c r="BG14" s="25" t="e">
        <f>AND(#REF!,"AAAAAHtd/Do=")</f>
        <v>#REF!</v>
      </c>
      <c r="BH14" s="25" t="e">
        <f>AND(#REF!,"AAAAAHtd/Ds=")</f>
        <v>#REF!</v>
      </c>
      <c r="BI14" s="25" t="e">
        <f>IF(#REF!,"AAAAAHtd/Dw=",0)</f>
        <v>#REF!</v>
      </c>
      <c r="BJ14" s="25" t="e">
        <f>AND(#REF!,"AAAAAHtd/D0=")</f>
        <v>#REF!</v>
      </c>
      <c r="BK14" s="25" t="e">
        <f>AND(#REF!,"AAAAAHtd/D4=")</f>
        <v>#REF!</v>
      </c>
      <c r="BL14" s="25" t="e">
        <f>AND(#REF!,"AAAAAHtd/D8=")</f>
        <v>#REF!</v>
      </c>
      <c r="BM14" s="25" t="e">
        <f>AND(#REF!,"AAAAAHtd/EA=")</f>
        <v>#REF!</v>
      </c>
      <c r="BN14" s="25" t="e">
        <f>AND(#REF!,"AAAAAHtd/EE=")</f>
        <v>#REF!</v>
      </c>
      <c r="BO14" s="25" t="e">
        <f>AND(#REF!,"AAAAAHtd/EI=")</f>
        <v>#REF!</v>
      </c>
      <c r="BP14" s="25" t="e">
        <f>AND(#REF!,"AAAAAHtd/EM=")</f>
        <v>#REF!</v>
      </c>
      <c r="BQ14" s="25" t="e">
        <f>AND(#REF!,"AAAAAHtd/EQ=")</f>
        <v>#REF!</v>
      </c>
      <c r="BR14" s="25" t="e">
        <f>AND(#REF!,"AAAAAHtd/EU=")</f>
        <v>#REF!</v>
      </c>
      <c r="BS14" s="25" t="e">
        <f>AND(#REF!,"AAAAAHtd/EY=")</f>
        <v>#REF!</v>
      </c>
      <c r="BT14" s="25" t="e">
        <f>AND(#REF!,"AAAAAHtd/Ec=")</f>
        <v>#REF!</v>
      </c>
      <c r="BU14" s="25" t="e">
        <f>AND(#REF!,"AAAAAHtd/Eg=")</f>
        <v>#REF!</v>
      </c>
      <c r="BV14" s="25" t="e">
        <f>AND(#REF!,"AAAAAHtd/Ek=")</f>
        <v>#REF!</v>
      </c>
      <c r="BW14" s="25" t="e">
        <f>AND(#REF!,"AAAAAHtd/Eo=")</f>
        <v>#REF!</v>
      </c>
      <c r="BX14" s="25" t="e">
        <f>AND(#REF!,"AAAAAHtd/Es=")</f>
        <v>#REF!</v>
      </c>
      <c r="BY14" s="25" t="e">
        <f>AND(#REF!,"AAAAAHtd/Ew=")</f>
        <v>#REF!</v>
      </c>
      <c r="BZ14" s="25" t="e">
        <f>AND(#REF!,"AAAAAHtd/E0=")</f>
        <v>#REF!</v>
      </c>
      <c r="CA14" s="25" t="e">
        <f>AND(#REF!,"AAAAAHtd/E4=")</f>
        <v>#REF!</v>
      </c>
      <c r="CB14" s="25" t="e">
        <f>AND(#REF!,"AAAAAHtd/E8=")</f>
        <v>#REF!</v>
      </c>
      <c r="CC14" s="25" t="e">
        <f>AND(#REF!,"AAAAAHtd/FA=")</f>
        <v>#REF!</v>
      </c>
      <c r="CD14" s="25" t="e">
        <f>AND(#REF!,"AAAAAHtd/FE=")</f>
        <v>#REF!</v>
      </c>
      <c r="CE14" s="25" t="e">
        <f>IF(#REF!,"AAAAAHtd/FI=",0)</f>
        <v>#REF!</v>
      </c>
      <c r="CF14" s="25" t="e">
        <f>AND(#REF!,"AAAAAHtd/FM=")</f>
        <v>#REF!</v>
      </c>
      <c r="CG14" s="25" t="e">
        <f>AND(#REF!,"AAAAAHtd/FQ=")</f>
        <v>#REF!</v>
      </c>
      <c r="CH14" s="25" t="e">
        <f>AND(#REF!,"AAAAAHtd/FU=")</f>
        <v>#REF!</v>
      </c>
      <c r="CI14" s="25" t="e">
        <f>AND(#REF!,"AAAAAHtd/FY=")</f>
        <v>#REF!</v>
      </c>
      <c r="CJ14" s="25" t="e">
        <f>AND(#REF!,"AAAAAHtd/Fc=")</f>
        <v>#REF!</v>
      </c>
      <c r="CK14" s="25" t="e">
        <f>AND(#REF!,"AAAAAHtd/Fg=")</f>
        <v>#REF!</v>
      </c>
      <c r="CL14" s="25" t="e">
        <f>AND(#REF!,"AAAAAHtd/Fk=")</f>
        <v>#REF!</v>
      </c>
      <c r="CM14" s="25" t="e">
        <f>AND(#REF!,"AAAAAHtd/Fo=")</f>
        <v>#REF!</v>
      </c>
      <c r="CN14" s="25" t="e">
        <f>AND(#REF!,"AAAAAHtd/Fs=")</f>
        <v>#REF!</v>
      </c>
      <c r="CO14" s="25" t="e">
        <f>AND(#REF!,"AAAAAHtd/Fw=")</f>
        <v>#REF!</v>
      </c>
      <c r="CP14" s="25" t="e">
        <f>AND(#REF!,"AAAAAHtd/F0=")</f>
        <v>#REF!</v>
      </c>
      <c r="CQ14" s="25" t="e">
        <f>AND(#REF!,"AAAAAHtd/F4=")</f>
        <v>#REF!</v>
      </c>
      <c r="CR14" s="25" t="e">
        <f>AND(#REF!,"AAAAAHtd/F8=")</f>
        <v>#REF!</v>
      </c>
      <c r="CS14" s="25" t="e">
        <f>AND(#REF!,"AAAAAHtd/GA=")</f>
        <v>#REF!</v>
      </c>
      <c r="CT14" s="25" t="e">
        <f>AND(#REF!,"AAAAAHtd/GE=")</f>
        <v>#REF!</v>
      </c>
      <c r="CU14" s="25" t="e">
        <f>AND(#REF!,"AAAAAHtd/GI=")</f>
        <v>#REF!</v>
      </c>
      <c r="CV14" s="25" t="e">
        <f>AND(#REF!,"AAAAAHtd/GM=")</f>
        <v>#REF!</v>
      </c>
      <c r="CW14" s="25" t="e">
        <f>AND(#REF!,"AAAAAHtd/GQ=")</f>
        <v>#REF!</v>
      </c>
      <c r="CX14" s="25" t="e">
        <f>AND(#REF!,"AAAAAHtd/GU=")</f>
        <v>#REF!</v>
      </c>
      <c r="CY14" s="25" t="e">
        <f>AND(#REF!,"AAAAAHtd/GY=")</f>
        <v>#REF!</v>
      </c>
      <c r="CZ14" s="25" t="e">
        <f>AND(#REF!,"AAAAAHtd/Gc=")</f>
        <v>#REF!</v>
      </c>
      <c r="DA14" s="25" t="e">
        <f>IF(#REF!,"AAAAAHtd/Gg=",0)</f>
        <v>#REF!</v>
      </c>
      <c r="DB14" s="25" t="e">
        <f>AND(#REF!,"AAAAAHtd/Gk=")</f>
        <v>#REF!</v>
      </c>
      <c r="DC14" s="25" t="e">
        <f>AND(#REF!,"AAAAAHtd/Go=")</f>
        <v>#REF!</v>
      </c>
      <c r="DD14" s="25" t="e">
        <f>AND(#REF!,"AAAAAHtd/Gs=")</f>
        <v>#REF!</v>
      </c>
      <c r="DE14" s="25" t="e">
        <f>AND(#REF!,"AAAAAHtd/Gw=")</f>
        <v>#REF!</v>
      </c>
      <c r="DF14" s="25" t="e">
        <f>AND(#REF!,"AAAAAHtd/G0=")</f>
        <v>#REF!</v>
      </c>
      <c r="DG14" s="25" t="e">
        <f>AND(#REF!,"AAAAAHtd/G4=")</f>
        <v>#REF!</v>
      </c>
      <c r="DH14" s="25" t="e">
        <f>AND(#REF!,"AAAAAHtd/G8=")</f>
        <v>#REF!</v>
      </c>
      <c r="DI14" s="25" t="e">
        <f>AND(#REF!,"AAAAAHtd/HA=")</f>
        <v>#REF!</v>
      </c>
      <c r="DJ14" s="25" t="e">
        <f>AND(#REF!,"AAAAAHtd/HE=")</f>
        <v>#REF!</v>
      </c>
      <c r="DK14" s="25" t="e">
        <f>AND(#REF!,"AAAAAHtd/HI=")</f>
        <v>#REF!</v>
      </c>
      <c r="DL14" s="25" t="e">
        <f>AND(#REF!,"AAAAAHtd/HM=")</f>
        <v>#REF!</v>
      </c>
      <c r="DM14" s="25" t="e">
        <f>AND(#REF!,"AAAAAHtd/HQ=")</f>
        <v>#REF!</v>
      </c>
      <c r="DN14" s="25" t="e">
        <f>AND(#REF!,"AAAAAHtd/HU=")</f>
        <v>#REF!</v>
      </c>
      <c r="DO14" s="25" t="e">
        <f>AND(#REF!,"AAAAAHtd/HY=")</f>
        <v>#REF!</v>
      </c>
      <c r="DP14" s="25" t="e">
        <f>AND(#REF!,"AAAAAHtd/Hc=")</f>
        <v>#REF!</v>
      </c>
      <c r="DQ14" s="25" t="e">
        <f>AND(#REF!,"AAAAAHtd/Hg=")</f>
        <v>#REF!</v>
      </c>
      <c r="DR14" s="25" t="e">
        <f>AND(#REF!,"AAAAAHtd/Hk=")</f>
        <v>#REF!</v>
      </c>
      <c r="DS14" s="25" t="e">
        <f>AND(#REF!,"AAAAAHtd/Ho=")</f>
        <v>#REF!</v>
      </c>
      <c r="DT14" s="25" t="e">
        <f>AND(#REF!,"AAAAAHtd/Hs=")</f>
        <v>#REF!</v>
      </c>
      <c r="DU14" s="25" t="e">
        <f>AND(#REF!,"AAAAAHtd/Hw=")</f>
        <v>#REF!</v>
      </c>
      <c r="DV14" s="25" t="e">
        <f>AND(#REF!,"AAAAAHtd/H0=")</f>
        <v>#REF!</v>
      </c>
      <c r="DW14" s="25" t="e">
        <f>IF(#REF!,"AAAAAHtd/H4=",0)</f>
        <v>#REF!</v>
      </c>
      <c r="DX14" s="25" t="e">
        <f>AND(#REF!,"AAAAAHtd/H8=")</f>
        <v>#REF!</v>
      </c>
      <c r="DY14" s="25" t="e">
        <f>AND(#REF!,"AAAAAHtd/IA=")</f>
        <v>#REF!</v>
      </c>
      <c r="DZ14" s="25" t="e">
        <f>AND(#REF!,"AAAAAHtd/IE=")</f>
        <v>#REF!</v>
      </c>
      <c r="EA14" s="25" t="e">
        <f>AND(#REF!,"AAAAAHtd/II=")</f>
        <v>#REF!</v>
      </c>
      <c r="EB14" s="25" t="e">
        <f>AND(#REF!,"AAAAAHtd/IM=")</f>
        <v>#REF!</v>
      </c>
      <c r="EC14" s="25" t="e">
        <f>AND(#REF!,"AAAAAHtd/IQ=")</f>
        <v>#REF!</v>
      </c>
      <c r="ED14" s="25" t="e">
        <f>AND(#REF!,"AAAAAHtd/IU=")</f>
        <v>#REF!</v>
      </c>
      <c r="EE14" s="25" t="e">
        <f>AND(#REF!,"AAAAAHtd/IY=")</f>
        <v>#REF!</v>
      </c>
      <c r="EF14" s="25" t="e">
        <f>AND(#REF!,"AAAAAHtd/Ic=")</f>
        <v>#REF!</v>
      </c>
      <c r="EG14" s="25" t="e">
        <f>AND(#REF!,"AAAAAHtd/Ig=")</f>
        <v>#REF!</v>
      </c>
      <c r="EH14" s="25" t="e">
        <f>AND(#REF!,"AAAAAHtd/Ik=")</f>
        <v>#REF!</v>
      </c>
      <c r="EI14" s="25" t="e">
        <f>AND(#REF!,"AAAAAHtd/Io=")</f>
        <v>#REF!</v>
      </c>
      <c r="EJ14" s="25" t="e">
        <f>AND(#REF!,"AAAAAHtd/Is=")</f>
        <v>#REF!</v>
      </c>
      <c r="EK14" s="25" t="e">
        <f>AND(#REF!,"AAAAAHtd/Iw=")</f>
        <v>#REF!</v>
      </c>
      <c r="EL14" s="25" t="e">
        <f>AND(#REF!,"AAAAAHtd/I0=")</f>
        <v>#REF!</v>
      </c>
      <c r="EM14" s="25" t="e">
        <f>AND(#REF!,"AAAAAHtd/I4=")</f>
        <v>#REF!</v>
      </c>
      <c r="EN14" s="25" t="e">
        <f>AND(#REF!,"AAAAAHtd/I8=")</f>
        <v>#REF!</v>
      </c>
      <c r="EO14" s="25" t="e">
        <f>AND(#REF!,"AAAAAHtd/JA=")</f>
        <v>#REF!</v>
      </c>
      <c r="EP14" s="25" t="e">
        <f>AND(#REF!,"AAAAAHtd/JE=")</f>
        <v>#REF!</v>
      </c>
      <c r="EQ14" s="25" t="e">
        <f>AND(#REF!,"AAAAAHtd/JI=")</f>
        <v>#REF!</v>
      </c>
      <c r="ER14" s="25" t="e">
        <f>AND(#REF!,"AAAAAHtd/JM=")</f>
        <v>#REF!</v>
      </c>
      <c r="ES14" s="25" t="e">
        <f>IF(#REF!,"AAAAAHtd/JQ=",0)</f>
        <v>#REF!</v>
      </c>
      <c r="ET14" s="25" t="e">
        <f>AND(#REF!,"AAAAAHtd/JU=")</f>
        <v>#REF!</v>
      </c>
      <c r="EU14" s="25" t="e">
        <f>AND(#REF!,"AAAAAHtd/JY=")</f>
        <v>#REF!</v>
      </c>
      <c r="EV14" s="25" t="e">
        <f>AND(#REF!,"AAAAAHtd/Jc=")</f>
        <v>#REF!</v>
      </c>
      <c r="EW14" s="25" t="e">
        <f>AND(#REF!,"AAAAAHtd/Jg=")</f>
        <v>#REF!</v>
      </c>
      <c r="EX14" s="25" t="e">
        <f>AND(#REF!,"AAAAAHtd/Jk=")</f>
        <v>#REF!</v>
      </c>
      <c r="EY14" s="25" t="e">
        <f>AND(#REF!,"AAAAAHtd/Jo=")</f>
        <v>#REF!</v>
      </c>
      <c r="EZ14" s="25" t="e">
        <f>AND(#REF!,"AAAAAHtd/Js=")</f>
        <v>#REF!</v>
      </c>
      <c r="FA14" s="25" t="e">
        <f>AND(#REF!,"AAAAAHtd/Jw=")</f>
        <v>#REF!</v>
      </c>
      <c r="FB14" s="25" t="e">
        <f>AND(#REF!,"AAAAAHtd/J0=")</f>
        <v>#REF!</v>
      </c>
      <c r="FC14" s="25" t="e">
        <f>AND(#REF!,"AAAAAHtd/J4=")</f>
        <v>#REF!</v>
      </c>
      <c r="FD14" s="25" t="e">
        <f>AND(#REF!,"AAAAAHtd/J8=")</f>
        <v>#REF!</v>
      </c>
      <c r="FE14" s="25" t="e">
        <f>AND(#REF!,"AAAAAHtd/KA=")</f>
        <v>#REF!</v>
      </c>
      <c r="FF14" s="25" t="e">
        <f>AND(#REF!,"AAAAAHtd/KE=")</f>
        <v>#REF!</v>
      </c>
      <c r="FG14" s="25" t="e">
        <f>AND(#REF!,"AAAAAHtd/KI=")</f>
        <v>#REF!</v>
      </c>
      <c r="FH14" s="25" t="e">
        <f>AND(#REF!,"AAAAAHtd/KM=")</f>
        <v>#REF!</v>
      </c>
      <c r="FI14" s="25" t="e">
        <f>AND(#REF!,"AAAAAHtd/KQ=")</f>
        <v>#REF!</v>
      </c>
      <c r="FJ14" s="25" t="e">
        <f>AND(#REF!,"AAAAAHtd/KU=")</f>
        <v>#REF!</v>
      </c>
      <c r="FK14" s="25" t="e">
        <f>AND(#REF!,"AAAAAHtd/KY=")</f>
        <v>#REF!</v>
      </c>
      <c r="FL14" s="25" t="e">
        <f>AND(#REF!,"AAAAAHtd/Kc=")</f>
        <v>#REF!</v>
      </c>
      <c r="FM14" s="25" t="e">
        <f>AND(#REF!,"AAAAAHtd/Kg=")</f>
        <v>#REF!</v>
      </c>
      <c r="FN14" s="25" t="e">
        <f>AND(#REF!,"AAAAAHtd/Kk=")</f>
        <v>#REF!</v>
      </c>
      <c r="FO14" s="25" t="e">
        <f>IF(#REF!,"AAAAAHtd/Ko=",0)</f>
        <v>#REF!</v>
      </c>
      <c r="FP14" s="25" t="e">
        <f>AND(#REF!,"AAAAAHtd/Ks=")</f>
        <v>#REF!</v>
      </c>
      <c r="FQ14" s="25" t="e">
        <f>AND(#REF!,"AAAAAHtd/Kw=")</f>
        <v>#REF!</v>
      </c>
      <c r="FR14" s="25" t="e">
        <f>AND(#REF!,"AAAAAHtd/K0=")</f>
        <v>#REF!</v>
      </c>
      <c r="FS14" s="25" t="e">
        <f>AND(#REF!,"AAAAAHtd/K4=")</f>
        <v>#REF!</v>
      </c>
      <c r="FT14" s="25" t="e">
        <f>AND(#REF!,"AAAAAHtd/K8=")</f>
        <v>#REF!</v>
      </c>
      <c r="FU14" s="25" t="e">
        <f>AND(#REF!,"AAAAAHtd/LA=")</f>
        <v>#REF!</v>
      </c>
      <c r="FV14" s="25" t="e">
        <f>AND(#REF!,"AAAAAHtd/LE=")</f>
        <v>#REF!</v>
      </c>
      <c r="FW14" s="25" t="e">
        <f>AND(#REF!,"AAAAAHtd/LI=")</f>
        <v>#REF!</v>
      </c>
      <c r="FX14" s="25" t="e">
        <f>AND(#REF!,"AAAAAHtd/LM=")</f>
        <v>#REF!</v>
      </c>
      <c r="FY14" s="25" t="e">
        <f>AND(#REF!,"AAAAAHtd/LQ=")</f>
        <v>#REF!</v>
      </c>
      <c r="FZ14" s="25" t="e">
        <f>AND(#REF!,"AAAAAHtd/LU=")</f>
        <v>#REF!</v>
      </c>
      <c r="GA14" s="25" t="e">
        <f>AND(#REF!,"AAAAAHtd/LY=")</f>
        <v>#REF!</v>
      </c>
      <c r="GB14" s="25" t="e">
        <f>AND(#REF!,"AAAAAHtd/Lc=")</f>
        <v>#REF!</v>
      </c>
      <c r="GC14" s="25" t="e">
        <f>AND(#REF!,"AAAAAHtd/Lg=")</f>
        <v>#REF!</v>
      </c>
      <c r="GD14" s="25" t="e">
        <f>AND(#REF!,"AAAAAHtd/Lk=")</f>
        <v>#REF!</v>
      </c>
      <c r="GE14" s="25" t="e">
        <f>AND(#REF!,"AAAAAHtd/Lo=")</f>
        <v>#REF!</v>
      </c>
      <c r="GF14" s="25" t="e">
        <f>AND(#REF!,"AAAAAHtd/Ls=")</f>
        <v>#REF!</v>
      </c>
      <c r="GG14" s="25" t="e">
        <f>AND(#REF!,"AAAAAHtd/Lw=")</f>
        <v>#REF!</v>
      </c>
      <c r="GH14" s="25" t="e">
        <f>AND(#REF!,"AAAAAHtd/L0=")</f>
        <v>#REF!</v>
      </c>
      <c r="GI14" s="25" t="e">
        <f>AND(#REF!,"AAAAAHtd/L4=")</f>
        <v>#REF!</v>
      </c>
      <c r="GJ14" s="25" t="e">
        <f>AND(#REF!,"AAAAAHtd/L8=")</f>
        <v>#REF!</v>
      </c>
      <c r="GK14" s="25" t="e">
        <f>IF(#REF!,"AAAAAHtd/MA=",0)</f>
        <v>#REF!</v>
      </c>
      <c r="GL14" s="25" t="e">
        <f>AND(#REF!,"AAAAAHtd/ME=")</f>
        <v>#REF!</v>
      </c>
      <c r="GM14" s="25" t="e">
        <f>AND(#REF!,"AAAAAHtd/MI=")</f>
        <v>#REF!</v>
      </c>
      <c r="GN14" s="25" t="e">
        <f>AND(#REF!,"AAAAAHtd/MM=")</f>
        <v>#REF!</v>
      </c>
      <c r="GO14" s="25" t="e">
        <f>AND(#REF!,"AAAAAHtd/MQ=")</f>
        <v>#REF!</v>
      </c>
      <c r="GP14" s="25" t="e">
        <f>AND(#REF!,"AAAAAHtd/MU=")</f>
        <v>#REF!</v>
      </c>
      <c r="GQ14" s="25" t="e">
        <f>AND(#REF!,"AAAAAHtd/MY=")</f>
        <v>#REF!</v>
      </c>
      <c r="GR14" s="25" t="e">
        <f>AND(#REF!,"AAAAAHtd/Mc=")</f>
        <v>#REF!</v>
      </c>
      <c r="GS14" s="25" t="e">
        <f>AND(#REF!,"AAAAAHtd/Mg=")</f>
        <v>#REF!</v>
      </c>
      <c r="GT14" s="25" t="e">
        <f>AND(#REF!,"AAAAAHtd/Mk=")</f>
        <v>#REF!</v>
      </c>
      <c r="GU14" s="25" t="e">
        <f>AND(#REF!,"AAAAAHtd/Mo=")</f>
        <v>#REF!</v>
      </c>
      <c r="GV14" s="25" t="e">
        <f>AND(#REF!,"AAAAAHtd/Ms=")</f>
        <v>#REF!</v>
      </c>
      <c r="GW14" s="25" t="e">
        <f>AND(#REF!,"AAAAAHtd/Mw=")</f>
        <v>#REF!</v>
      </c>
      <c r="GX14" s="25" t="e">
        <f>AND(#REF!,"AAAAAHtd/M0=")</f>
        <v>#REF!</v>
      </c>
      <c r="GY14" s="25" t="e">
        <f>AND(#REF!,"AAAAAHtd/M4=")</f>
        <v>#REF!</v>
      </c>
      <c r="GZ14" s="25" t="e">
        <f>AND(#REF!,"AAAAAHtd/M8=")</f>
        <v>#REF!</v>
      </c>
      <c r="HA14" s="25" t="e">
        <f>AND(#REF!,"AAAAAHtd/NA=")</f>
        <v>#REF!</v>
      </c>
      <c r="HB14" s="25" t="e">
        <f>AND(#REF!,"AAAAAHtd/NE=")</f>
        <v>#REF!</v>
      </c>
      <c r="HC14" s="25" t="e">
        <f>AND(#REF!,"AAAAAHtd/NI=")</f>
        <v>#REF!</v>
      </c>
      <c r="HD14" s="25" t="e">
        <f>AND(#REF!,"AAAAAHtd/NM=")</f>
        <v>#REF!</v>
      </c>
      <c r="HE14" s="25" t="e">
        <f>AND(#REF!,"AAAAAHtd/NQ=")</f>
        <v>#REF!</v>
      </c>
      <c r="HF14" s="25" t="e">
        <f>AND(#REF!,"AAAAAHtd/NU=")</f>
        <v>#REF!</v>
      </c>
      <c r="HG14" s="25" t="e">
        <f>IF(#REF!,"AAAAAHtd/NY=",0)</f>
        <v>#REF!</v>
      </c>
      <c r="HH14" s="25" t="e">
        <f>AND(#REF!,"AAAAAHtd/Nc=")</f>
        <v>#REF!</v>
      </c>
      <c r="HI14" s="25" t="e">
        <f>AND(#REF!,"AAAAAHtd/Ng=")</f>
        <v>#REF!</v>
      </c>
      <c r="HJ14" s="25" t="e">
        <f>AND(#REF!,"AAAAAHtd/Nk=")</f>
        <v>#REF!</v>
      </c>
      <c r="HK14" s="25" t="e">
        <f>AND(#REF!,"AAAAAHtd/No=")</f>
        <v>#REF!</v>
      </c>
      <c r="HL14" s="25" t="e">
        <f>AND(#REF!,"AAAAAHtd/Ns=")</f>
        <v>#REF!</v>
      </c>
      <c r="HM14" s="25" t="e">
        <f>AND(#REF!,"AAAAAHtd/Nw=")</f>
        <v>#REF!</v>
      </c>
      <c r="HN14" s="25" t="e">
        <f>AND(#REF!,"AAAAAHtd/N0=")</f>
        <v>#REF!</v>
      </c>
      <c r="HO14" s="25" t="e">
        <f>AND(#REF!,"AAAAAHtd/N4=")</f>
        <v>#REF!</v>
      </c>
      <c r="HP14" s="25" t="e">
        <f>AND(#REF!,"AAAAAHtd/N8=")</f>
        <v>#REF!</v>
      </c>
      <c r="HQ14" s="25" t="e">
        <f>AND(#REF!,"AAAAAHtd/OA=")</f>
        <v>#REF!</v>
      </c>
      <c r="HR14" s="25" t="e">
        <f>AND(#REF!,"AAAAAHtd/OE=")</f>
        <v>#REF!</v>
      </c>
      <c r="HS14" s="25" t="e">
        <f>AND(#REF!,"AAAAAHtd/OI=")</f>
        <v>#REF!</v>
      </c>
      <c r="HT14" s="25" t="e">
        <f>AND(#REF!,"AAAAAHtd/OM=")</f>
        <v>#REF!</v>
      </c>
      <c r="HU14" s="25" t="e">
        <f>AND(#REF!,"AAAAAHtd/OQ=")</f>
        <v>#REF!</v>
      </c>
      <c r="HV14" s="25" t="e">
        <f>AND(#REF!,"AAAAAHtd/OU=")</f>
        <v>#REF!</v>
      </c>
      <c r="HW14" s="25" t="e">
        <f>AND(#REF!,"AAAAAHtd/OY=")</f>
        <v>#REF!</v>
      </c>
      <c r="HX14" s="25" t="e">
        <f>AND(#REF!,"AAAAAHtd/Oc=")</f>
        <v>#REF!</v>
      </c>
      <c r="HY14" s="25" t="e">
        <f>AND(#REF!,"AAAAAHtd/Og=")</f>
        <v>#REF!</v>
      </c>
      <c r="HZ14" s="25" t="e">
        <f>AND(#REF!,"AAAAAHtd/Ok=")</f>
        <v>#REF!</v>
      </c>
      <c r="IA14" s="25" t="e">
        <f>AND(#REF!,"AAAAAHtd/Oo=")</f>
        <v>#REF!</v>
      </c>
      <c r="IB14" s="25" t="e">
        <f>AND(#REF!,"AAAAAHtd/Os=")</f>
        <v>#REF!</v>
      </c>
      <c r="IC14" s="25" t="e">
        <f>IF(#REF!,"AAAAAHtd/Ow=",0)</f>
        <v>#REF!</v>
      </c>
      <c r="ID14" s="25" t="e">
        <f>AND(#REF!,"AAAAAHtd/O0=")</f>
        <v>#REF!</v>
      </c>
      <c r="IE14" s="25" t="e">
        <f>AND(#REF!,"AAAAAHtd/O4=")</f>
        <v>#REF!</v>
      </c>
      <c r="IF14" s="25" t="e">
        <f>AND(#REF!,"AAAAAHtd/O8=")</f>
        <v>#REF!</v>
      </c>
      <c r="IG14" s="25" t="e">
        <f>AND(#REF!,"AAAAAHtd/PA=")</f>
        <v>#REF!</v>
      </c>
      <c r="IH14" s="25" t="e">
        <f>AND(#REF!,"AAAAAHtd/PE=")</f>
        <v>#REF!</v>
      </c>
      <c r="II14" s="25" t="e">
        <f>AND(#REF!,"AAAAAHtd/PI=")</f>
        <v>#REF!</v>
      </c>
      <c r="IJ14" s="25" t="e">
        <f>AND(#REF!,"AAAAAHtd/PM=")</f>
        <v>#REF!</v>
      </c>
      <c r="IK14" s="25" t="e">
        <f>AND(#REF!,"AAAAAHtd/PQ=")</f>
        <v>#REF!</v>
      </c>
      <c r="IL14" s="25" t="e">
        <f>AND(#REF!,"AAAAAHtd/PU=")</f>
        <v>#REF!</v>
      </c>
      <c r="IM14" s="25" t="e">
        <f>AND(#REF!,"AAAAAHtd/PY=")</f>
        <v>#REF!</v>
      </c>
      <c r="IN14" s="25" t="e">
        <f>AND(#REF!,"AAAAAHtd/Pc=")</f>
        <v>#REF!</v>
      </c>
      <c r="IO14" s="25" t="e">
        <f>AND(#REF!,"AAAAAHtd/Pg=")</f>
        <v>#REF!</v>
      </c>
      <c r="IP14" s="25" t="e">
        <f>AND(#REF!,"AAAAAHtd/Pk=")</f>
        <v>#REF!</v>
      </c>
      <c r="IQ14" s="25" t="e">
        <f>AND(#REF!,"AAAAAHtd/Po=")</f>
        <v>#REF!</v>
      </c>
      <c r="IR14" s="25" t="e">
        <f>AND(#REF!,"AAAAAHtd/Ps=")</f>
        <v>#REF!</v>
      </c>
      <c r="IS14" s="25" t="e">
        <f>AND(#REF!,"AAAAAHtd/Pw=")</f>
        <v>#REF!</v>
      </c>
      <c r="IT14" s="25" t="e">
        <f>AND(#REF!,"AAAAAHtd/P0=")</f>
        <v>#REF!</v>
      </c>
      <c r="IU14" s="25" t="e">
        <f>AND(#REF!,"AAAAAHtd/P4=")</f>
        <v>#REF!</v>
      </c>
      <c r="IV14" s="25" t="e">
        <f>AND(#REF!,"AAAAAHtd/P8=")</f>
        <v>#REF!</v>
      </c>
    </row>
    <row r="15" spans="1:256" ht="12.75" customHeight="1" x14ac:dyDescent="0.2">
      <c r="A15" s="25" t="e">
        <f>AND(#REF!,"AAAAAE7TfwA=")</f>
        <v>#REF!</v>
      </c>
      <c r="B15" s="25" t="e">
        <f>AND(#REF!,"AAAAAE7TfwE=")</f>
        <v>#REF!</v>
      </c>
      <c r="C15" s="25" t="e">
        <f>IF(#REF!,"AAAAAE7TfwI=",0)</f>
        <v>#REF!</v>
      </c>
      <c r="D15" s="25" t="e">
        <f>AND(#REF!,"AAAAAE7TfwM=")</f>
        <v>#REF!</v>
      </c>
      <c r="E15" s="25" t="e">
        <f>AND(#REF!,"AAAAAE7TfwQ=")</f>
        <v>#REF!</v>
      </c>
      <c r="F15" s="25" t="e">
        <f>AND(#REF!,"AAAAAE7TfwU=")</f>
        <v>#REF!</v>
      </c>
      <c r="G15" s="25" t="e">
        <f>AND(#REF!,"AAAAAE7TfwY=")</f>
        <v>#REF!</v>
      </c>
      <c r="H15" s="25" t="e">
        <f>AND(#REF!,"AAAAAE7Tfwc=")</f>
        <v>#REF!</v>
      </c>
      <c r="I15" s="25" t="e">
        <f>AND(#REF!,"AAAAAE7Tfwg=")</f>
        <v>#REF!</v>
      </c>
      <c r="J15" s="25" t="e">
        <f>AND(#REF!,"AAAAAE7Tfwk=")</f>
        <v>#REF!</v>
      </c>
      <c r="K15" s="25" t="e">
        <f>AND(#REF!,"AAAAAE7Tfwo=")</f>
        <v>#REF!</v>
      </c>
      <c r="L15" s="25" t="e">
        <f>AND(#REF!,"AAAAAE7Tfws=")</f>
        <v>#REF!</v>
      </c>
      <c r="M15" s="25" t="e">
        <f>AND(#REF!,"AAAAAE7Tfww=")</f>
        <v>#REF!</v>
      </c>
      <c r="N15" s="25" t="e">
        <f>AND(#REF!,"AAAAAE7Tfw0=")</f>
        <v>#REF!</v>
      </c>
      <c r="O15" s="25" t="e">
        <f>AND(#REF!,"AAAAAE7Tfw4=")</f>
        <v>#REF!</v>
      </c>
      <c r="P15" s="25" t="e">
        <f>AND(#REF!,"AAAAAE7Tfw8=")</f>
        <v>#REF!</v>
      </c>
      <c r="Q15" s="25" t="e">
        <f>AND(#REF!,"AAAAAE7TfxA=")</f>
        <v>#REF!</v>
      </c>
      <c r="R15" s="25" t="e">
        <f>AND(#REF!,"AAAAAE7TfxE=")</f>
        <v>#REF!</v>
      </c>
      <c r="S15" s="25" t="e">
        <f>AND(#REF!,"AAAAAE7TfxI=")</f>
        <v>#REF!</v>
      </c>
      <c r="T15" s="25" t="e">
        <f>AND(#REF!,"AAAAAE7TfxM=")</f>
        <v>#REF!</v>
      </c>
      <c r="U15" s="25" t="e">
        <f>AND(#REF!,"AAAAAE7TfxQ=")</f>
        <v>#REF!</v>
      </c>
      <c r="V15" s="25" t="e">
        <f>AND(#REF!,"AAAAAE7TfxU=")</f>
        <v>#REF!</v>
      </c>
      <c r="W15" s="25" t="e">
        <f>AND(#REF!,"AAAAAE7TfxY=")</f>
        <v>#REF!</v>
      </c>
      <c r="X15" s="25" t="e">
        <f>AND(#REF!,"AAAAAE7Tfxc=")</f>
        <v>#REF!</v>
      </c>
      <c r="Y15" s="25" t="e">
        <f>IF(#REF!,"AAAAAE7Tfxg=",0)</f>
        <v>#REF!</v>
      </c>
      <c r="Z15" s="25" t="e">
        <f>AND(#REF!,"AAAAAE7Tfxk=")</f>
        <v>#REF!</v>
      </c>
      <c r="AA15" s="25" t="e">
        <f>AND(#REF!,"AAAAAE7Tfxo=")</f>
        <v>#REF!</v>
      </c>
      <c r="AB15" s="25" t="e">
        <f>AND(#REF!,"AAAAAE7Tfxs=")</f>
        <v>#REF!</v>
      </c>
      <c r="AC15" s="25" t="e">
        <f>AND(#REF!,"AAAAAE7Tfxw=")</f>
        <v>#REF!</v>
      </c>
      <c r="AD15" s="25" t="e">
        <f>AND(#REF!,"AAAAAE7Tfx0=")</f>
        <v>#REF!</v>
      </c>
      <c r="AE15" s="25" t="e">
        <f>AND(#REF!,"AAAAAE7Tfx4=")</f>
        <v>#REF!</v>
      </c>
      <c r="AF15" s="25" t="e">
        <f>AND(#REF!,"AAAAAE7Tfx8=")</f>
        <v>#REF!</v>
      </c>
      <c r="AG15" s="25" t="e">
        <f>AND(#REF!,"AAAAAE7TfyA=")</f>
        <v>#REF!</v>
      </c>
      <c r="AH15" s="25" t="e">
        <f>AND(#REF!,"AAAAAE7TfyE=")</f>
        <v>#REF!</v>
      </c>
      <c r="AI15" s="25" t="e">
        <f>AND(#REF!,"AAAAAE7TfyI=")</f>
        <v>#REF!</v>
      </c>
      <c r="AJ15" s="25" t="e">
        <f>AND(#REF!,"AAAAAE7TfyM=")</f>
        <v>#REF!</v>
      </c>
      <c r="AK15" s="25" t="e">
        <f>AND(#REF!,"AAAAAE7TfyQ=")</f>
        <v>#REF!</v>
      </c>
      <c r="AL15" s="25" t="e">
        <f>AND(#REF!,"AAAAAE7TfyU=")</f>
        <v>#REF!</v>
      </c>
      <c r="AM15" s="25" t="e">
        <f>AND(#REF!,"AAAAAE7TfyY=")</f>
        <v>#REF!</v>
      </c>
      <c r="AN15" s="25" t="e">
        <f>AND(#REF!,"AAAAAE7Tfyc=")</f>
        <v>#REF!</v>
      </c>
      <c r="AO15" s="25" t="e">
        <f>AND(#REF!,"AAAAAE7Tfyg=")</f>
        <v>#REF!</v>
      </c>
      <c r="AP15" s="25" t="e">
        <f>AND(#REF!,"AAAAAE7Tfyk=")</f>
        <v>#REF!</v>
      </c>
      <c r="AQ15" s="25" t="e">
        <f>AND(#REF!,"AAAAAE7Tfyo=")</f>
        <v>#REF!</v>
      </c>
      <c r="AR15" s="25" t="e">
        <f>AND(#REF!,"AAAAAE7Tfys=")</f>
        <v>#REF!</v>
      </c>
      <c r="AS15" s="25" t="e">
        <f>AND(#REF!,"AAAAAE7Tfyw=")</f>
        <v>#REF!</v>
      </c>
      <c r="AT15" s="25" t="e">
        <f>AND(#REF!,"AAAAAE7Tfy0=")</f>
        <v>#REF!</v>
      </c>
      <c r="AU15" s="25" t="e">
        <f>IF(#REF!,"AAAAAE7Tfy4=",0)</f>
        <v>#REF!</v>
      </c>
      <c r="AV15" s="25" t="e">
        <f>AND(#REF!,"AAAAAE7Tfy8=")</f>
        <v>#REF!</v>
      </c>
      <c r="AW15" s="25" t="e">
        <f>AND(#REF!,"AAAAAE7TfzA=")</f>
        <v>#REF!</v>
      </c>
      <c r="AX15" s="25" t="e">
        <f>AND(#REF!,"AAAAAE7TfzE=")</f>
        <v>#REF!</v>
      </c>
      <c r="AY15" s="25" t="e">
        <f>AND(#REF!,"AAAAAE7TfzI=")</f>
        <v>#REF!</v>
      </c>
      <c r="AZ15" s="25" t="e">
        <f>AND(#REF!,"AAAAAE7TfzM=")</f>
        <v>#REF!</v>
      </c>
      <c r="BA15" s="25" t="e">
        <f>AND(#REF!,"AAAAAE7TfzQ=")</f>
        <v>#REF!</v>
      </c>
      <c r="BB15" s="25" t="e">
        <f>AND(#REF!,"AAAAAE7TfzU=")</f>
        <v>#REF!</v>
      </c>
      <c r="BC15" s="25" t="e">
        <f>AND(#REF!,"AAAAAE7TfzY=")</f>
        <v>#REF!</v>
      </c>
      <c r="BD15" s="25" t="e">
        <f>AND(#REF!,"AAAAAE7Tfzc=")</f>
        <v>#REF!</v>
      </c>
      <c r="BE15" s="25" t="e">
        <f>AND(#REF!,"AAAAAE7Tfzg=")</f>
        <v>#REF!</v>
      </c>
      <c r="BF15" s="25" t="e">
        <f>AND(#REF!,"AAAAAE7Tfzk=")</f>
        <v>#REF!</v>
      </c>
      <c r="BG15" s="25" t="e">
        <f>AND(#REF!,"AAAAAE7Tfzo=")</f>
        <v>#REF!</v>
      </c>
      <c r="BH15" s="25" t="e">
        <f>AND(#REF!,"AAAAAE7Tfzs=")</f>
        <v>#REF!</v>
      </c>
      <c r="BI15" s="25" t="e">
        <f>AND(#REF!,"AAAAAE7Tfzw=")</f>
        <v>#REF!</v>
      </c>
      <c r="BJ15" s="25" t="e">
        <f>AND(#REF!,"AAAAAE7Tfz0=")</f>
        <v>#REF!</v>
      </c>
      <c r="BK15" s="25" t="e">
        <f>AND(#REF!,"AAAAAE7Tfz4=")</f>
        <v>#REF!</v>
      </c>
      <c r="BL15" s="25" t="e">
        <f>AND(#REF!,"AAAAAE7Tfz8=")</f>
        <v>#REF!</v>
      </c>
      <c r="BM15" s="25" t="e">
        <f>AND(#REF!,"AAAAAE7Tf0A=")</f>
        <v>#REF!</v>
      </c>
      <c r="BN15" s="25" t="e">
        <f>AND(#REF!,"AAAAAE7Tf0E=")</f>
        <v>#REF!</v>
      </c>
      <c r="BO15" s="25" t="e">
        <f>AND(#REF!,"AAAAAE7Tf0I=")</f>
        <v>#REF!</v>
      </c>
      <c r="BP15" s="25" t="e">
        <f>AND(#REF!,"AAAAAE7Tf0M=")</f>
        <v>#REF!</v>
      </c>
      <c r="BQ15" s="25" t="e">
        <f>IF(#REF!,"AAAAAE7Tf0Q=",0)</f>
        <v>#REF!</v>
      </c>
      <c r="BR15" s="25" t="e">
        <f>AND(#REF!,"AAAAAE7Tf0U=")</f>
        <v>#REF!</v>
      </c>
      <c r="BS15" s="25" t="e">
        <f>AND(#REF!,"AAAAAE7Tf0Y=")</f>
        <v>#REF!</v>
      </c>
      <c r="BT15" s="25" t="e">
        <f>AND(#REF!,"AAAAAE7Tf0c=")</f>
        <v>#REF!</v>
      </c>
      <c r="BU15" s="25" t="e">
        <f>AND(#REF!,"AAAAAE7Tf0g=")</f>
        <v>#REF!</v>
      </c>
      <c r="BV15" s="25" t="e">
        <f>AND(#REF!,"AAAAAE7Tf0k=")</f>
        <v>#REF!</v>
      </c>
      <c r="BW15" s="25" t="e">
        <f>AND(#REF!,"AAAAAE7Tf0o=")</f>
        <v>#REF!</v>
      </c>
      <c r="BX15" s="25" t="e">
        <f>AND(#REF!,"AAAAAE7Tf0s=")</f>
        <v>#REF!</v>
      </c>
      <c r="BY15" s="25" t="e">
        <f>AND(#REF!,"AAAAAE7Tf0w=")</f>
        <v>#REF!</v>
      </c>
      <c r="BZ15" s="25" t="e">
        <f>AND(#REF!,"AAAAAE7Tf00=")</f>
        <v>#REF!</v>
      </c>
      <c r="CA15" s="25" t="e">
        <f>AND(#REF!,"AAAAAE7Tf04=")</f>
        <v>#REF!</v>
      </c>
      <c r="CB15" s="25" t="e">
        <f>AND(#REF!,"AAAAAE7Tf08=")</f>
        <v>#REF!</v>
      </c>
      <c r="CC15" s="25" t="e">
        <f>AND(#REF!,"AAAAAE7Tf1A=")</f>
        <v>#REF!</v>
      </c>
      <c r="CD15" s="25" t="e">
        <f>AND(#REF!,"AAAAAE7Tf1E=")</f>
        <v>#REF!</v>
      </c>
      <c r="CE15" s="25" t="e">
        <f>AND(#REF!,"AAAAAE7Tf1I=")</f>
        <v>#REF!</v>
      </c>
      <c r="CF15" s="25" t="e">
        <f>AND(#REF!,"AAAAAE7Tf1M=")</f>
        <v>#REF!</v>
      </c>
      <c r="CG15" s="25" t="e">
        <f>AND(#REF!,"AAAAAE7Tf1Q=")</f>
        <v>#REF!</v>
      </c>
      <c r="CH15" s="25" t="e">
        <f>AND(#REF!,"AAAAAE7Tf1U=")</f>
        <v>#REF!</v>
      </c>
      <c r="CI15" s="25" t="e">
        <f>AND(#REF!,"AAAAAE7Tf1Y=")</f>
        <v>#REF!</v>
      </c>
      <c r="CJ15" s="25" t="e">
        <f>AND(#REF!,"AAAAAE7Tf1c=")</f>
        <v>#REF!</v>
      </c>
      <c r="CK15" s="25" t="e">
        <f>AND(#REF!,"AAAAAE7Tf1g=")</f>
        <v>#REF!</v>
      </c>
      <c r="CL15" s="25" t="e">
        <f>AND(#REF!,"AAAAAE7Tf1k=")</f>
        <v>#REF!</v>
      </c>
      <c r="CM15" s="25" t="e">
        <f>IF(#REF!,"AAAAAE7Tf1o=",0)</f>
        <v>#REF!</v>
      </c>
      <c r="CN15" s="25" t="e">
        <f>AND(#REF!,"AAAAAE7Tf1s=")</f>
        <v>#REF!</v>
      </c>
      <c r="CO15" s="25" t="e">
        <f>AND(#REF!,"AAAAAE7Tf1w=")</f>
        <v>#REF!</v>
      </c>
      <c r="CP15" s="25" t="e">
        <f>AND(#REF!,"AAAAAE7Tf10=")</f>
        <v>#REF!</v>
      </c>
      <c r="CQ15" s="25" t="e">
        <f>AND(#REF!,"AAAAAE7Tf14=")</f>
        <v>#REF!</v>
      </c>
      <c r="CR15" s="25" t="e">
        <f>AND(#REF!,"AAAAAE7Tf18=")</f>
        <v>#REF!</v>
      </c>
      <c r="CS15" s="25" t="e">
        <f>AND(#REF!,"AAAAAE7Tf2A=")</f>
        <v>#REF!</v>
      </c>
      <c r="CT15" s="25" t="e">
        <f>AND(#REF!,"AAAAAE7Tf2E=")</f>
        <v>#REF!</v>
      </c>
      <c r="CU15" s="25" t="e">
        <f>AND(#REF!,"AAAAAE7Tf2I=")</f>
        <v>#REF!</v>
      </c>
      <c r="CV15" s="25" t="e">
        <f>AND(#REF!,"AAAAAE7Tf2M=")</f>
        <v>#REF!</v>
      </c>
      <c r="CW15" s="25" t="e">
        <f>AND(#REF!,"AAAAAE7Tf2Q=")</f>
        <v>#REF!</v>
      </c>
      <c r="CX15" s="25" t="e">
        <f>AND(#REF!,"AAAAAE7Tf2U=")</f>
        <v>#REF!</v>
      </c>
      <c r="CY15" s="25" t="e">
        <f>AND(#REF!,"AAAAAE7Tf2Y=")</f>
        <v>#REF!</v>
      </c>
      <c r="CZ15" s="25" t="e">
        <f>AND(#REF!,"AAAAAE7Tf2c=")</f>
        <v>#REF!</v>
      </c>
      <c r="DA15" s="25" t="e">
        <f>AND(#REF!,"AAAAAE7Tf2g=")</f>
        <v>#REF!</v>
      </c>
      <c r="DB15" s="25" t="e">
        <f>AND(#REF!,"AAAAAE7Tf2k=")</f>
        <v>#REF!</v>
      </c>
      <c r="DC15" s="25" t="e">
        <f>AND(#REF!,"AAAAAE7Tf2o=")</f>
        <v>#REF!</v>
      </c>
      <c r="DD15" s="25" t="e">
        <f>AND(#REF!,"AAAAAE7Tf2s=")</f>
        <v>#REF!</v>
      </c>
      <c r="DE15" s="25" t="e">
        <f>AND(#REF!,"AAAAAE7Tf2w=")</f>
        <v>#REF!</v>
      </c>
      <c r="DF15" s="25" t="e">
        <f>AND(#REF!,"AAAAAE7Tf20=")</f>
        <v>#REF!</v>
      </c>
      <c r="DG15" s="25" t="e">
        <f>AND(#REF!,"AAAAAE7Tf24=")</f>
        <v>#REF!</v>
      </c>
      <c r="DH15" s="25" t="e">
        <f>AND(#REF!,"AAAAAE7Tf28=")</f>
        <v>#REF!</v>
      </c>
      <c r="DI15" s="25" t="e">
        <f>IF(#REF!,"AAAAAE7Tf3A=",0)</f>
        <v>#REF!</v>
      </c>
      <c r="DJ15" s="25" t="e">
        <f>AND(#REF!,"AAAAAE7Tf3E=")</f>
        <v>#REF!</v>
      </c>
      <c r="DK15" s="25" t="e">
        <f>AND(#REF!,"AAAAAE7Tf3I=")</f>
        <v>#REF!</v>
      </c>
      <c r="DL15" s="25" t="e">
        <f>AND(#REF!,"AAAAAE7Tf3M=")</f>
        <v>#REF!</v>
      </c>
      <c r="DM15" s="25" t="e">
        <f>AND(#REF!,"AAAAAE7Tf3Q=")</f>
        <v>#REF!</v>
      </c>
      <c r="DN15" s="25" t="e">
        <f>AND(#REF!,"AAAAAE7Tf3U=")</f>
        <v>#REF!</v>
      </c>
      <c r="DO15" s="25" t="e">
        <f>AND(#REF!,"AAAAAE7Tf3Y=")</f>
        <v>#REF!</v>
      </c>
      <c r="DP15" s="25" t="e">
        <f>AND(#REF!,"AAAAAE7Tf3c=")</f>
        <v>#REF!</v>
      </c>
      <c r="DQ15" s="25" t="e">
        <f>AND(#REF!,"AAAAAE7Tf3g=")</f>
        <v>#REF!</v>
      </c>
      <c r="DR15" s="25" t="e">
        <f>AND(#REF!,"AAAAAE7Tf3k=")</f>
        <v>#REF!</v>
      </c>
      <c r="DS15" s="25" t="e">
        <f>AND(#REF!,"AAAAAE7Tf3o=")</f>
        <v>#REF!</v>
      </c>
      <c r="DT15" s="25" t="e">
        <f>AND(#REF!,"AAAAAE7Tf3s=")</f>
        <v>#REF!</v>
      </c>
      <c r="DU15" s="25" t="e">
        <f>AND(#REF!,"AAAAAE7Tf3w=")</f>
        <v>#REF!</v>
      </c>
      <c r="DV15" s="25" t="e">
        <f>AND(#REF!,"AAAAAE7Tf30=")</f>
        <v>#REF!</v>
      </c>
      <c r="DW15" s="25" t="e">
        <f>AND(#REF!,"AAAAAE7Tf34=")</f>
        <v>#REF!</v>
      </c>
      <c r="DX15" s="25" t="e">
        <f>AND(#REF!,"AAAAAE7Tf38=")</f>
        <v>#REF!</v>
      </c>
      <c r="DY15" s="25" t="e">
        <f>AND(#REF!,"AAAAAE7Tf4A=")</f>
        <v>#REF!</v>
      </c>
      <c r="DZ15" s="25" t="e">
        <f>AND(#REF!,"AAAAAE7Tf4E=")</f>
        <v>#REF!</v>
      </c>
      <c r="EA15" s="25" t="e">
        <f>AND(#REF!,"AAAAAE7Tf4I=")</f>
        <v>#REF!</v>
      </c>
      <c r="EB15" s="25" t="e">
        <f>AND(#REF!,"AAAAAE7Tf4M=")</f>
        <v>#REF!</v>
      </c>
      <c r="EC15" s="25" t="e">
        <f>AND(#REF!,"AAAAAE7Tf4Q=")</f>
        <v>#REF!</v>
      </c>
      <c r="ED15" s="25" t="e">
        <f>AND(#REF!,"AAAAAE7Tf4U=")</f>
        <v>#REF!</v>
      </c>
      <c r="EE15" s="25" t="e">
        <f>IF(#REF!,"AAAAAE7Tf4Y=",0)</f>
        <v>#REF!</v>
      </c>
      <c r="EF15" s="25" t="e">
        <f>AND(#REF!,"AAAAAE7Tf4c=")</f>
        <v>#REF!</v>
      </c>
      <c r="EG15" s="25" t="e">
        <f>AND(#REF!,"AAAAAE7Tf4g=")</f>
        <v>#REF!</v>
      </c>
      <c r="EH15" s="25" t="e">
        <f>AND(#REF!,"AAAAAE7Tf4k=")</f>
        <v>#REF!</v>
      </c>
      <c r="EI15" s="25" t="e">
        <f>AND(#REF!,"AAAAAE7Tf4o=")</f>
        <v>#REF!</v>
      </c>
      <c r="EJ15" s="25" t="e">
        <f>AND(#REF!,"AAAAAE7Tf4s=")</f>
        <v>#REF!</v>
      </c>
      <c r="EK15" s="25" t="e">
        <f>AND(#REF!,"AAAAAE7Tf4w=")</f>
        <v>#REF!</v>
      </c>
      <c r="EL15" s="25" t="e">
        <f>AND(#REF!,"AAAAAE7Tf40=")</f>
        <v>#REF!</v>
      </c>
      <c r="EM15" s="25" t="e">
        <f>AND(#REF!,"AAAAAE7Tf44=")</f>
        <v>#REF!</v>
      </c>
      <c r="EN15" s="25" t="e">
        <f>AND(#REF!,"AAAAAE7Tf48=")</f>
        <v>#REF!</v>
      </c>
      <c r="EO15" s="25" t="e">
        <f>AND(#REF!,"AAAAAE7Tf5A=")</f>
        <v>#REF!</v>
      </c>
      <c r="EP15" s="25" t="e">
        <f>AND(#REF!,"AAAAAE7Tf5E=")</f>
        <v>#REF!</v>
      </c>
      <c r="EQ15" s="25" t="e">
        <f>AND(#REF!,"AAAAAE7Tf5I=")</f>
        <v>#REF!</v>
      </c>
      <c r="ER15" s="25" t="e">
        <f>AND(#REF!,"AAAAAE7Tf5M=")</f>
        <v>#REF!</v>
      </c>
      <c r="ES15" s="25" t="e">
        <f>AND(#REF!,"AAAAAE7Tf5Q=")</f>
        <v>#REF!</v>
      </c>
      <c r="ET15" s="25" t="e">
        <f>AND(#REF!,"AAAAAE7Tf5U=")</f>
        <v>#REF!</v>
      </c>
      <c r="EU15" s="25" t="e">
        <f>AND(#REF!,"AAAAAE7Tf5Y=")</f>
        <v>#REF!</v>
      </c>
      <c r="EV15" s="25" t="e">
        <f>AND(#REF!,"AAAAAE7Tf5c=")</f>
        <v>#REF!</v>
      </c>
      <c r="EW15" s="25" t="e">
        <f>AND(#REF!,"AAAAAE7Tf5g=")</f>
        <v>#REF!</v>
      </c>
      <c r="EX15" s="25" t="e">
        <f>AND(#REF!,"AAAAAE7Tf5k=")</f>
        <v>#REF!</v>
      </c>
      <c r="EY15" s="25" t="e">
        <f>AND(#REF!,"AAAAAE7Tf5o=")</f>
        <v>#REF!</v>
      </c>
      <c r="EZ15" s="25" t="e">
        <f>AND(#REF!,"AAAAAE7Tf5s=")</f>
        <v>#REF!</v>
      </c>
      <c r="FA15" s="25" t="e">
        <f>IF(#REF!,"AAAAAE7Tf5w=",0)</f>
        <v>#REF!</v>
      </c>
      <c r="FB15" s="25" t="e">
        <f>AND(#REF!,"AAAAAE7Tf50=")</f>
        <v>#REF!</v>
      </c>
      <c r="FC15" s="25" t="e">
        <f>AND(#REF!,"AAAAAE7Tf54=")</f>
        <v>#REF!</v>
      </c>
      <c r="FD15" s="25" t="e">
        <f>AND(#REF!,"AAAAAE7Tf58=")</f>
        <v>#REF!</v>
      </c>
      <c r="FE15" s="25" t="e">
        <f>AND(#REF!,"AAAAAE7Tf6A=")</f>
        <v>#REF!</v>
      </c>
      <c r="FF15" s="25" t="e">
        <f>AND(#REF!,"AAAAAE7Tf6E=")</f>
        <v>#REF!</v>
      </c>
      <c r="FG15" s="25" t="e">
        <f>AND(#REF!,"AAAAAE7Tf6I=")</f>
        <v>#REF!</v>
      </c>
      <c r="FH15" s="25" t="e">
        <f>AND(#REF!,"AAAAAE7Tf6M=")</f>
        <v>#REF!</v>
      </c>
      <c r="FI15" s="25" t="e">
        <f>AND(#REF!,"AAAAAE7Tf6Q=")</f>
        <v>#REF!</v>
      </c>
      <c r="FJ15" s="25" t="e">
        <f>AND(#REF!,"AAAAAE7Tf6U=")</f>
        <v>#REF!</v>
      </c>
      <c r="FK15" s="25" t="e">
        <f>AND(#REF!,"AAAAAE7Tf6Y=")</f>
        <v>#REF!</v>
      </c>
      <c r="FL15" s="25" t="e">
        <f>AND(#REF!,"AAAAAE7Tf6c=")</f>
        <v>#REF!</v>
      </c>
      <c r="FM15" s="25" t="e">
        <f>AND(#REF!,"AAAAAE7Tf6g=")</f>
        <v>#REF!</v>
      </c>
      <c r="FN15" s="25" t="e">
        <f>AND(#REF!,"AAAAAE7Tf6k=")</f>
        <v>#REF!</v>
      </c>
      <c r="FO15" s="25" t="e">
        <f>AND(#REF!,"AAAAAE7Tf6o=")</f>
        <v>#REF!</v>
      </c>
      <c r="FP15" s="25" t="e">
        <f>AND(#REF!,"AAAAAE7Tf6s=")</f>
        <v>#REF!</v>
      </c>
      <c r="FQ15" s="25" t="e">
        <f>AND(#REF!,"AAAAAE7Tf6w=")</f>
        <v>#REF!</v>
      </c>
      <c r="FR15" s="25" t="e">
        <f>AND(#REF!,"AAAAAE7Tf60=")</f>
        <v>#REF!</v>
      </c>
      <c r="FS15" s="25" t="e">
        <f>AND(#REF!,"AAAAAE7Tf64=")</f>
        <v>#REF!</v>
      </c>
      <c r="FT15" s="25" t="e">
        <f>AND(#REF!,"AAAAAE7Tf68=")</f>
        <v>#REF!</v>
      </c>
      <c r="FU15" s="25" t="e">
        <f>AND(#REF!,"AAAAAE7Tf7A=")</f>
        <v>#REF!</v>
      </c>
      <c r="FV15" s="25" t="e">
        <f>AND(#REF!,"AAAAAE7Tf7E=")</f>
        <v>#REF!</v>
      </c>
      <c r="FW15" s="25" t="e">
        <f>IF(#REF!,"AAAAAE7Tf7I=",0)</f>
        <v>#REF!</v>
      </c>
      <c r="FX15" s="25" t="e">
        <f>AND(#REF!,"AAAAAE7Tf7M=")</f>
        <v>#REF!</v>
      </c>
      <c r="FY15" s="25" t="e">
        <f>AND(#REF!,"AAAAAE7Tf7Q=")</f>
        <v>#REF!</v>
      </c>
      <c r="FZ15" s="25" t="e">
        <f>AND(#REF!,"AAAAAE7Tf7U=")</f>
        <v>#REF!</v>
      </c>
      <c r="GA15" s="25" t="e">
        <f>AND(#REF!,"AAAAAE7Tf7Y=")</f>
        <v>#REF!</v>
      </c>
      <c r="GB15" s="25" t="e">
        <f>AND(#REF!,"AAAAAE7Tf7c=")</f>
        <v>#REF!</v>
      </c>
      <c r="GC15" s="25" t="e">
        <f>AND(#REF!,"AAAAAE7Tf7g=")</f>
        <v>#REF!</v>
      </c>
      <c r="GD15" s="25" t="e">
        <f>AND(#REF!,"AAAAAE7Tf7k=")</f>
        <v>#REF!</v>
      </c>
      <c r="GE15" s="25" t="e">
        <f>AND(#REF!,"AAAAAE7Tf7o=")</f>
        <v>#REF!</v>
      </c>
      <c r="GF15" s="25" t="e">
        <f>AND(#REF!,"AAAAAE7Tf7s=")</f>
        <v>#REF!</v>
      </c>
      <c r="GG15" s="25" t="e">
        <f>AND(#REF!,"AAAAAE7Tf7w=")</f>
        <v>#REF!</v>
      </c>
      <c r="GH15" s="25" t="e">
        <f>AND(#REF!,"AAAAAE7Tf70=")</f>
        <v>#REF!</v>
      </c>
      <c r="GI15" s="25" t="e">
        <f>AND(#REF!,"AAAAAE7Tf74=")</f>
        <v>#REF!</v>
      </c>
      <c r="GJ15" s="25" t="e">
        <f>AND(#REF!,"AAAAAE7Tf78=")</f>
        <v>#REF!</v>
      </c>
      <c r="GK15" s="25" t="e">
        <f>AND(#REF!,"AAAAAE7Tf8A=")</f>
        <v>#REF!</v>
      </c>
      <c r="GL15" s="25" t="e">
        <f>AND(#REF!,"AAAAAE7Tf8E=")</f>
        <v>#REF!</v>
      </c>
      <c r="GM15" s="25" t="e">
        <f>AND(#REF!,"AAAAAE7Tf8I=")</f>
        <v>#REF!</v>
      </c>
      <c r="GN15" s="25" t="e">
        <f>AND(#REF!,"AAAAAE7Tf8M=")</f>
        <v>#REF!</v>
      </c>
      <c r="GO15" s="25" t="e">
        <f>AND(#REF!,"AAAAAE7Tf8Q=")</f>
        <v>#REF!</v>
      </c>
      <c r="GP15" s="25" t="e">
        <f>AND(#REF!,"AAAAAE7Tf8U=")</f>
        <v>#REF!</v>
      </c>
      <c r="GQ15" s="25" t="e">
        <f>AND(#REF!,"AAAAAE7Tf8Y=")</f>
        <v>#REF!</v>
      </c>
      <c r="GR15" s="25" t="e">
        <f>AND(#REF!,"AAAAAE7Tf8c=")</f>
        <v>#REF!</v>
      </c>
      <c r="GS15" s="25" t="e">
        <f>IF(#REF!,"AAAAAE7Tf8g=",0)</f>
        <v>#REF!</v>
      </c>
      <c r="GT15" s="25" t="e">
        <f>AND(#REF!,"AAAAAE7Tf8k=")</f>
        <v>#REF!</v>
      </c>
      <c r="GU15" s="25" t="e">
        <f>AND(#REF!,"AAAAAE7Tf8o=")</f>
        <v>#REF!</v>
      </c>
      <c r="GV15" s="25" t="e">
        <f>AND(#REF!,"AAAAAE7Tf8s=")</f>
        <v>#REF!</v>
      </c>
      <c r="GW15" s="25" t="e">
        <f>AND(#REF!,"AAAAAE7Tf8w=")</f>
        <v>#REF!</v>
      </c>
      <c r="GX15" s="25" t="e">
        <f>AND(#REF!,"AAAAAE7Tf80=")</f>
        <v>#REF!</v>
      </c>
      <c r="GY15" s="25" t="e">
        <f>AND(#REF!,"AAAAAE7Tf84=")</f>
        <v>#REF!</v>
      </c>
      <c r="GZ15" s="25" t="e">
        <f>AND(#REF!,"AAAAAE7Tf88=")</f>
        <v>#REF!</v>
      </c>
      <c r="HA15" s="25" t="e">
        <f>AND(#REF!,"AAAAAE7Tf9A=")</f>
        <v>#REF!</v>
      </c>
      <c r="HB15" s="25" t="e">
        <f>AND(#REF!,"AAAAAE7Tf9E=")</f>
        <v>#REF!</v>
      </c>
      <c r="HC15" s="25" t="e">
        <f>AND(#REF!,"AAAAAE7Tf9I=")</f>
        <v>#REF!</v>
      </c>
      <c r="HD15" s="25" t="e">
        <f>AND(#REF!,"AAAAAE7Tf9M=")</f>
        <v>#REF!</v>
      </c>
      <c r="HE15" s="25" t="e">
        <f>AND(#REF!,"AAAAAE7Tf9Q=")</f>
        <v>#REF!</v>
      </c>
      <c r="HF15" s="25" t="e">
        <f>AND(#REF!,"AAAAAE7Tf9U=")</f>
        <v>#REF!</v>
      </c>
      <c r="HG15" s="25" t="e">
        <f>AND(#REF!,"AAAAAE7Tf9Y=")</f>
        <v>#REF!</v>
      </c>
      <c r="HH15" s="25" t="e">
        <f>AND(#REF!,"AAAAAE7Tf9c=")</f>
        <v>#REF!</v>
      </c>
      <c r="HI15" s="25" t="e">
        <f>AND(#REF!,"AAAAAE7Tf9g=")</f>
        <v>#REF!</v>
      </c>
      <c r="HJ15" s="25" t="e">
        <f>AND(#REF!,"AAAAAE7Tf9k=")</f>
        <v>#REF!</v>
      </c>
      <c r="HK15" s="25" t="e">
        <f>AND(#REF!,"AAAAAE7Tf9o=")</f>
        <v>#REF!</v>
      </c>
      <c r="HL15" s="25" t="e">
        <f>AND(#REF!,"AAAAAE7Tf9s=")</f>
        <v>#REF!</v>
      </c>
      <c r="HM15" s="25" t="e">
        <f>AND(#REF!,"AAAAAE7Tf9w=")</f>
        <v>#REF!</v>
      </c>
      <c r="HN15" s="25" t="e">
        <f>AND(#REF!,"AAAAAE7Tf90=")</f>
        <v>#REF!</v>
      </c>
      <c r="HO15" s="25" t="e">
        <f>IF(#REF!,"AAAAAE7Tf94=",0)</f>
        <v>#REF!</v>
      </c>
      <c r="HP15" s="25" t="e">
        <f>AND(#REF!,"AAAAAE7Tf98=")</f>
        <v>#REF!</v>
      </c>
      <c r="HQ15" s="25" t="e">
        <f>AND(#REF!,"AAAAAE7Tf+A=")</f>
        <v>#REF!</v>
      </c>
      <c r="HR15" s="25" t="e">
        <f>AND(#REF!,"AAAAAE7Tf+E=")</f>
        <v>#REF!</v>
      </c>
      <c r="HS15" s="25" t="e">
        <f>AND(#REF!,"AAAAAE7Tf+I=")</f>
        <v>#REF!</v>
      </c>
      <c r="HT15" s="25" t="e">
        <f>AND(#REF!,"AAAAAE7Tf+M=")</f>
        <v>#REF!</v>
      </c>
      <c r="HU15" s="25" t="e">
        <f>AND(#REF!,"AAAAAE7Tf+Q=")</f>
        <v>#REF!</v>
      </c>
      <c r="HV15" s="25" t="e">
        <f>AND(#REF!,"AAAAAE7Tf+U=")</f>
        <v>#REF!</v>
      </c>
      <c r="HW15" s="25" t="e">
        <f>AND(#REF!,"AAAAAE7Tf+Y=")</f>
        <v>#REF!</v>
      </c>
      <c r="HX15" s="25" t="e">
        <f>AND(#REF!,"AAAAAE7Tf+c=")</f>
        <v>#REF!</v>
      </c>
      <c r="HY15" s="25" t="e">
        <f>AND(#REF!,"AAAAAE7Tf+g=")</f>
        <v>#REF!</v>
      </c>
      <c r="HZ15" s="25" t="e">
        <f>AND(#REF!,"AAAAAE7Tf+k=")</f>
        <v>#REF!</v>
      </c>
      <c r="IA15" s="25" t="e">
        <f>AND(#REF!,"AAAAAE7Tf+o=")</f>
        <v>#REF!</v>
      </c>
      <c r="IB15" s="25" t="e">
        <f>AND(#REF!,"AAAAAE7Tf+s=")</f>
        <v>#REF!</v>
      </c>
      <c r="IC15" s="25" t="e">
        <f>AND(#REF!,"AAAAAE7Tf+w=")</f>
        <v>#REF!</v>
      </c>
      <c r="ID15" s="25" t="e">
        <f>AND(#REF!,"AAAAAE7Tf+0=")</f>
        <v>#REF!</v>
      </c>
      <c r="IE15" s="25" t="e">
        <f>AND(#REF!,"AAAAAE7Tf+4=")</f>
        <v>#REF!</v>
      </c>
      <c r="IF15" s="25" t="e">
        <f>AND(#REF!,"AAAAAE7Tf+8=")</f>
        <v>#REF!</v>
      </c>
      <c r="IG15" s="25" t="e">
        <f>AND(#REF!,"AAAAAE7Tf/A=")</f>
        <v>#REF!</v>
      </c>
      <c r="IH15" s="25" t="e">
        <f>AND(#REF!,"AAAAAE7Tf/E=")</f>
        <v>#REF!</v>
      </c>
      <c r="II15" s="25" t="e">
        <f>AND(#REF!,"AAAAAE7Tf/I=")</f>
        <v>#REF!</v>
      </c>
      <c r="IJ15" s="25" t="e">
        <f>AND(#REF!,"AAAAAE7Tf/M=")</f>
        <v>#REF!</v>
      </c>
      <c r="IK15" s="25" t="e">
        <f>IF(#REF!,"AAAAAE7Tf/Q=",0)</f>
        <v>#REF!</v>
      </c>
      <c r="IL15" s="25" t="e">
        <f>AND(#REF!,"AAAAAE7Tf/U=")</f>
        <v>#REF!</v>
      </c>
      <c r="IM15" s="25" t="e">
        <f>AND(#REF!,"AAAAAE7Tf/Y=")</f>
        <v>#REF!</v>
      </c>
      <c r="IN15" s="25" t="e">
        <f>AND(#REF!,"AAAAAE7Tf/c=")</f>
        <v>#REF!</v>
      </c>
      <c r="IO15" s="25" t="e">
        <f>AND(#REF!,"AAAAAE7Tf/g=")</f>
        <v>#REF!</v>
      </c>
      <c r="IP15" s="25" t="e">
        <f>AND(#REF!,"AAAAAE7Tf/k=")</f>
        <v>#REF!</v>
      </c>
      <c r="IQ15" s="25" t="e">
        <f>AND(#REF!,"AAAAAE7Tf/o=")</f>
        <v>#REF!</v>
      </c>
      <c r="IR15" s="25" t="e">
        <f>AND(#REF!,"AAAAAE7Tf/s=")</f>
        <v>#REF!</v>
      </c>
      <c r="IS15" s="25" t="e">
        <f>AND(#REF!,"AAAAAE7Tf/w=")</f>
        <v>#REF!</v>
      </c>
      <c r="IT15" s="25" t="e">
        <f>AND(#REF!,"AAAAAE7Tf/0=")</f>
        <v>#REF!</v>
      </c>
      <c r="IU15" s="25" t="e">
        <f>AND(#REF!,"AAAAAE7Tf/4=")</f>
        <v>#REF!</v>
      </c>
      <c r="IV15" s="25" t="e">
        <f>AND(#REF!,"AAAAAE7Tf/8=")</f>
        <v>#REF!</v>
      </c>
    </row>
    <row r="16" spans="1:256" ht="12.75" customHeight="1" x14ac:dyDescent="0.2">
      <c r="A16" s="25" t="e">
        <f>AND(#REF!,"AAAAAHuPtwA=")</f>
        <v>#REF!</v>
      </c>
      <c r="B16" s="25" t="e">
        <f>AND(#REF!,"AAAAAHuPtwE=")</f>
        <v>#REF!</v>
      </c>
      <c r="C16" s="25" t="e">
        <f>AND(#REF!,"AAAAAHuPtwI=")</f>
        <v>#REF!</v>
      </c>
      <c r="D16" s="25" t="e">
        <f>AND(#REF!,"AAAAAHuPtwM=")</f>
        <v>#REF!</v>
      </c>
      <c r="E16" s="25" t="e">
        <f>AND(#REF!,"AAAAAHuPtwQ=")</f>
        <v>#REF!</v>
      </c>
      <c r="F16" s="25" t="e">
        <f>AND(#REF!,"AAAAAHuPtwU=")</f>
        <v>#REF!</v>
      </c>
      <c r="G16" s="25" t="e">
        <f>AND(#REF!,"AAAAAHuPtwY=")</f>
        <v>#REF!</v>
      </c>
      <c r="H16" s="25" t="e">
        <f>AND(#REF!,"AAAAAHuPtwc=")</f>
        <v>#REF!</v>
      </c>
      <c r="I16" s="25" t="e">
        <f>AND(#REF!,"AAAAAHuPtwg=")</f>
        <v>#REF!</v>
      </c>
      <c r="J16" s="25" t="e">
        <f>AND(#REF!,"AAAAAHuPtwk=")</f>
        <v>#REF!</v>
      </c>
      <c r="K16" s="25" t="e">
        <f>IF(#REF!,"AAAAAHuPtwo=",0)</f>
        <v>#REF!</v>
      </c>
      <c r="L16" s="25" t="e">
        <f>AND(#REF!,"AAAAAHuPtws=")</f>
        <v>#REF!</v>
      </c>
      <c r="M16" s="25" t="e">
        <f>AND(#REF!,"AAAAAHuPtww=")</f>
        <v>#REF!</v>
      </c>
      <c r="N16" s="25" t="e">
        <f>AND(#REF!,"AAAAAHuPtw0=")</f>
        <v>#REF!</v>
      </c>
      <c r="O16" s="25" t="e">
        <f>AND(#REF!,"AAAAAHuPtw4=")</f>
        <v>#REF!</v>
      </c>
      <c r="P16" s="25" t="e">
        <f>AND(#REF!,"AAAAAHuPtw8=")</f>
        <v>#REF!</v>
      </c>
      <c r="Q16" s="25" t="e">
        <f>AND(#REF!,"AAAAAHuPtxA=")</f>
        <v>#REF!</v>
      </c>
      <c r="R16" s="25" t="e">
        <f>AND(#REF!,"AAAAAHuPtxE=")</f>
        <v>#REF!</v>
      </c>
      <c r="S16" s="25" t="e">
        <f>AND(#REF!,"AAAAAHuPtxI=")</f>
        <v>#REF!</v>
      </c>
      <c r="T16" s="25" t="e">
        <f>AND(#REF!,"AAAAAHuPtxM=")</f>
        <v>#REF!</v>
      </c>
      <c r="U16" s="25" t="e">
        <f>AND(#REF!,"AAAAAHuPtxQ=")</f>
        <v>#REF!</v>
      </c>
      <c r="V16" s="25" t="e">
        <f>AND(#REF!,"AAAAAHuPtxU=")</f>
        <v>#REF!</v>
      </c>
      <c r="W16" s="25" t="e">
        <f>AND(#REF!,"AAAAAHuPtxY=")</f>
        <v>#REF!</v>
      </c>
      <c r="X16" s="25" t="e">
        <f>AND(#REF!,"AAAAAHuPtxc=")</f>
        <v>#REF!</v>
      </c>
      <c r="Y16" s="25" t="e">
        <f>AND(#REF!,"AAAAAHuPtxg=")</f>
        <v>#REF!</v>
      </c>
      <c r="Z16" s="25" t="e">
        <f>AND(#REF!,"AAAAAHuPtxk=")</f>
        <v>#REF!</v>
      </c>
      <c r="AA16" s="25" t="e">
        <f>AND(#REF!,"AAAAAHuPtxo=")</f>
        <v>#REF!</v>
      </c>
      <c r="AB16" s="25" t="e">
        <f>AND(#REF!,"AAAAAHuPtxs=")</f>
        <v>#REF!</v>
      </c>
      <c r="AC16" s="25" t="e">
        <f>AND(#REF!,"AAAAAHuPtxw=")</f>
        <v>#REF!</v>
      </c>
      <c r="AD16" s="25" t="e">
        <f>AND(#REF!,"AAAAAHuPtx0=")</f>
        <v>#REF!</v>
      </c>
      <c r="AE16" s="25" t="e">
        <f>AND(#REF!,"AAAAAHuPtx4=")</f>
        <v>#REF!</v>
      </c>
      <c r="AF16" s="25" t="e">
        <f>AND(#REF!,"AAAAAHuPtx8=")</f>
        <v>#REF!</v>
      </c>
      <c r="AG16" s="25" t="e">
        <f>IF(#REF!,"AAAAAHuPtyA=",0)</f>
        <v>#REF!</v>
      </c>
      <c r="AH16" s="25" t="e">
        <f>AND(#REF!,"AAAAAHuPtyE=")</f>
        <v>#REF!</v>
      </c>
      <c r="AI16" s="25" t="e">
        <f>AND(#REF!,"AAAAAHuPtyI=")</f>
        <v>#REF!</v>
      </c>
      <c r="AJ16" s="25" t="e">
        <f>AND(#REF!,"AAAAAHuPtyM=")</f>
        <v>#REF!</v>
      </c>
      <c r="AK16" s="25" t="e">
        <f>AND(#REF!,"AAAAAHuPtyQ=")</f>
        <v>#REF!</v>
      </c>
      <c r="AL16" s="25" t="e">
        <f>AND(#REF!,"AAAAAHuPtyU=")</f>
        <v>#REF!</v>
      </c>
      <c r="AM16" s="25" t="e">
        <f>AND(#REF!,"AAAAAHuPtyY=")</f>
        <v>#REF!</v>
      </c>
      <c r="AN16" s="25" t="e">
        <f>AND(#REF!,"AAAAAHuPtyc=")</f>
        <v>#REF!</v>
      </c>
      <c r="AO16" s="25" t="e">
        <f>AND(#REF!,"AAAAAHuPtyg=")</f>
        <v>#REF!</v>
      </c>
      <c r="AP16" s="25" t="e">
        <f>AND(#REF!,"AAAAAHuPtyk=")</f>
        <v>#REF!</v>
      </c>
      <c r="AQ16" s="25" t="e">
        <f>AND(#REF!,"AAAAAHuPtyo=")</f>
        <v>#REF!</v>
      </c>
      <c r="AR16" s="25" t="e">
        <f>AND(#REF!,"AAAAAHuPtys=")</f>
        <v>#REF!</v>
      </c>
      <c r="AS16" s="25" t="e">
        <f>AND(#REF!,"AAAAAHuPtyw=")</f>
        <v>#REF!</v>
      </c>
      <c r="AT16" s="25" t="e">
        <f>AND(#REF!,"AAAAAHuPty0=")</f>
        <v>#REF!</v>
      </c>
      <c r="AU16" s="25" t="e">
        <f>AND(#REF!,"AAAAAHuPty4=")</f>
        <v>#REF!</v>
      </c>
      <c r="AV16" s="25" t="e">
        <f>AND(#REF!,"AAAAAHuPty8=")</f>
        <v>#REF!</v>
      </c>
      <c r="AW16" s="25" t="e">
        <f>AND(#REF!,"AAAAAHuPtzA=")</f>
        <v>#REF!</v>
      </c>
      <c r="AX16" s="25" t="e">
        <f>AND(#REF!,"AAAAAHuPtzE=")</f>
        <v>#REF!</v>
      </c>
      <c r="AY16" s="25" t="e">
        <f>AND(#REF!,"AAAAAHuPtzI=")</f>
        <v>#REF!</v>
      </c>
      <c r="AZ16" s="25" t="e">
        <f>AND(#REF!,"AAAAAHuPtzM=")</f>
        <v>#REF!</v>
      </c>
      <c r="BA16" s="25" t="e">
        <f>AND(#REF!,"AAAAAHuPtzQ=")</f>
        <v>#REF!</v>
      </c>
      <c r="BB16" s="25" t="e">
        <f>AND(#REF!,"AAAAAHuPtzU=")</f>
        <v>#REF!</v>
      </c>
      <c r="BC16" s="25" t="e">
        <f>IF(#REF!,"AAAAAHuPtzY=",0)</f>
        <v>#REF!</v>
      </c>
      <c r="BD16" s="25" t="e">
        <f>AND(#REF!,"AAAAAHuPtzc=")</f>
        <v>#REF!</v>
      </c>
      <c r="BE16" s="25" t="e">
        <f>AND(#REF!,"AAAAAHuPtzg=")</f>
        <v>#REF!</v>
      </c>
      <c r="BF16" s="25" t="e">
        <f>AND(#REF!,"AAAAAHuPtzk=")</f>
        <v>#REF!</v>
      </c>
      <c r="BG16" s="25" t="e">
        <f>AND(#REF!,"AAAAAHuPtzo=")</f>
        <v>#REF!</v>
      </c>
      <c r="BH16" s="25" t="e">
        <f>AND(#REF!,"AAAAAHuPtzs=")</f>
        <v>#REF!</v>
      </c>
      <c r="BI16" s="25" t="e">
        <f>AND(#REF!,"AAAAAHuPtzw=")</f>
        <v>#REF!</v>
      </c>
      <c r="BJ16" s="25" t="e">
        <f>AND(#REF!,"AAAAAHuPtz0=")</f>
        <v>#REF!</v>
      </c>
      <c r="BK16" s="25" t="e">
        <f>AND(#REF!,"AAAAAHuPtz4=")</f>
        <v>#REF!</v>
      </c>
      <c r="BL16" s="25" t="e">
        <f>AND(#REF!,"AAAAAHuPtz8=")</f>
        <v>#REF!</v>
      </c>
      <c r="BM16" s="25" t="e">
        <f>AND(#REF!,"AAAAAHuPt0A=")</f>
        <v>#REF!</v>
      </c>
      <c r="BN16" s="25" t="e">
        <f>AND(#REF!,"AAAAAHuPt0E=")</f>
        <v>#REF!</v>
      </c>
      <c r="BO16" s="25" t="e">
        <f>AND(#REF!,"AAAAAHuPt0I=")</f>
        <v>#REF!</v>
      </c>
      <c r="BP16" s="25" t="e">
        <f>AND(#REF!,"AAAAAHuPt0M=")</f>
        <v>#REF!</v>
      </c>
      <c r="BQ16" s="25" t="e">
        <f>AND(#REF!,"AAAAAHuPt0Q=")</f>
        <v>#REF!</v>
      </c>
      <c r="BR16" s="25" t="e">
        <f>AND(#REF!,"AAAAAHuPt0U=")</f>
        <v>#REF!</v>
      </c>
      <c r="BS16" s="25" t="e">
        <f>AND(#REF!,"AAAAAHuPt0Y=")</f>
        <v>#REF!</v>
      </c>
      <c r="BT16" s="25" t="e">
        <f>AND(#REF!,"AAAAAHuPt0c=")</f>
        <v>#REF!</v>
      </c>
      <c r="BU16" s="25" t="e">
        <f>AND(#REF!,"AAAAAHuPt0g=")</f>
        <v>#REF!</v>
      </c>
      <c r="BV16" s="25" t="e">
        <f>AND(#REF!,"AAAAAHuPt0k=")</f>
        <v>#REF!</v>
      </c>
      <c r="BW16" s="25" t="e">
        <f>AND(#REF!,"AAAAAHuPt0o=")</f>
        <v>#REF!</v>
      </c>
      <c r="BX16" s="25" t="e">
        <f>AND(#REF!,"AAAAAHuPt0s=")</f>
        <v>#REF!</v>
      </c>
      <c r="BY16" s="25" t="e">
        <f>IF(#REF!,"AAAAAHuPt0w=",0)</f>
        <v>#REF!</v>
      </c>
      <c r="BZ16" s="25" t="e">
        <f>AND(#REF!,"AAAAAHuPt00=")</f>
        <v>#REF!</v>
      </c>
      <c r="CA16" s="25" t="e">
        <f>AND(#REF!,"AAAAAHuPt04=")</f>
        <v>#REF!</v>
      </c>
      <c r="CB16" s="25" t="e">
        <f>AND(#REF!,"AAAAAHuPt08=")</f>
        <v>#REF!</v>
      </c>
      <c r="CC16" s="25" t="e">
        <f>AND(#REF!,"AAAAAHuPt1A=")</f>
        <v>#REF!</v>
      </c>
      <c r="CD16" s="25" t="e">
        <f>AND(#REF!,"AAAAAHuPt1E=")</f>
        <v>#REF!</v>
      </c>
      <c r="CE16" s="25" t="e">
        <f>AND(#REF!,"AAAAAHuPt1I=")</f>
        <v>#REF!</v>
      </c>
      <c r="CF16" s="25" t="e">
        <f>AND(#REF!,"AAAAAHuPt1M=")</f>
        <v>#REF!</v>
      </c>
      <c r="CG16" s="25" t="e">
        <f>AND(#REF!,"AAAAAHuPt1Q=")</f>
        <v>#REF!</v>
      </c>
      <c r="CH16" s="25" t="e">
        <f>AND(#REF!,"AAAAAHuPt1U=")</f>
        <v>#REF!</v>
      </c>
      <c r="CI16" s="25" t="e">
        <f>AND(#REF!,"AAAAAHuPt1Y=")</f>
        <v>#REF!</v>
      </c>
      <c r="CJ16" s="25" t="e">
        <f>AND(#REF!,"AAAAAHuPt1c=")</f>
        <v>#REF!</v>
      </c>
      <c r="CK16" s="25" t="e">
        <f>AND(#REF!,"AAAAAHuPt1g=")</f>
        <v>#REF!</v>
      </c>
      <c r="CL16" s="25" t="e">
        <f>AND(#REF!,"AAAAAHuPt1k=")</f>
        <v>#REF!</v>
      </c>
      <c r="CM16" s="25" t="e">
        <f>AND(#REF!,"AAAAAHuPt1o=")</f>
        <v>#REF!</v>
      </c>
      <c r="CN16" s="25" t="e">
        <f>AND(#REF!,"AAAAAHuPt1s=")</f>
        <v>#REF!</v>
      </c>
      <c r="CO16" s="25" t="e">
        <f>AND(#REF!,"AAAAAHuPt1w=")</f>
        <v>#REF!</v>
      </c>
      <c r="CP16" s="25" t="e">
        <f>AND(#REF!,"AAAAAHuPt10=")</f>
        <v>#REF!</v>
      </c>
      <c r="CQ16" s="25" t="e">
        <f>AND(#REF!,"AAAAAHuPt14=")</f>
        <v>#REF!</v>
      </c>
      <c r="CR16" s="25" t="e">
        <f>AND(#REF!,"AAAAAHuPt18=")</f>
        <v>#REF!</v>
      </c>
      <c r="CS16" s="25" t="e">
        <f>AND(#REF!,"AAAAAHuPt2A=")</f>
        <v>#REF!</v>
      </c>
      <c r="CT16" s="25" t="e">
        <f>AND(#REF!,"AAAAAHuPt2E=")</f>
        <v>#REF!</v>
      </c>
      <c r="CU16" s="25" t="e">
        <f>IF(#REF!,"AAAAAHuPt2I=",0)</f>
        <v>#REF!</v>
      </c>
      <c r="CV16" s="25" t="e">
        <f>AND(#REF!,"AAAAAHuPt2M=")</f>
        <v>#REF!</v>
      </c>
      <c r="CW16" s="25" t="e">
        <f>AND(#REF!,"AAAAAHuPt2Q=")</f>
        <v>#REF!</v>
      </c>
      <c r="CX16" s="25" t="e">
        <f>AND(#REF!,"AAAAAHuPt2U=")</f>
        <v>#REF!</v>
      </c>
      <c r="CY16" s="25" t="e">
        <f>AND(#REF!,"AAAAAHuPt2Y=")</f>
        <v>#REF!</v>
      </c>
      <c r="CZ16" s="25" t="e">
        <f>AND(#REF!,"AAAAAHuPt2c=")</f>
        <v>#REF!</v>
      </c>
      <c r="DA16" s="25" t="e">
        <f>AND(#REF!,"AAAAAHuPt2g=")</f>
        <v>#REF!</v>
      </c>
      <c r="DB16" s="25" t="e">
        <f>AND(#REF!,"AAAAAHuPt2k=")</f>
        <v>#REF!</v>
      </c>
      <c r="DC16" s="25" t="e">
        <f>AND(#REF!,"AAAAAHuPt2o=")</f>
        <v>#REF!</v>
      </c>
      <c r="DD16" s="25" t="e">
        <f>AND(#REF!,"AAAAAHuPt2s=")</f>
        <v>#REF!</v>
      </c>
      <c r="DE16" s="25" t="e">
        <f>AND(#REF!,"AAAAAHuPt2w=")</f>
        <v>#REF!</v>
      </c>
      <c r="DF16" s="25" t="e">
        <f>AND(#REF!,"AAAAAHuPt20=")</f>
        <v>#REF!</v>
      </c>
      <c r="DG16" s="25" t="e">
        <f>AND(#REF!,"AAAAAHuPt24=")</f>
        <v>#REF!</v>
      </c>
      <c r="DH16" s="25" t="e">
        <f>AND(#REF!,"AAAAAHuPt28=")</f>
        <v>#REF!</v>
      </c>
      <c r="DI16" s="25" t="e">
        <f>AND(#REF!,"AAAAAHuPt3A=")</f>
        <v>#REF!</v>
      </c>
      <c r="DJ16" s="25" t="e">
        <f>AND(#REF!,"AAAAAHuPt3E=")</f>
        <v>#REF!</v>
      </c>
      <c r="DK16" s="25" t="e">
        <f>AND(#REF!,"AAAAAHuPt3I=")</f>
        <v>#REF!</v>
      </c>
      <c r="DL16" s="25" t="e">
        <f>AND(#REF!,"AAAAAHuPt3M=")</f>
        <v>#REF!</v>
      </c>
      <c r="DM16" s="25" t="e">
        <f>AND(#REF!,"AAAAAHuPt3Q=")</f>
        <v>#REF!</v>
      </c>
      <c r="DN16" s="25" t="e">
        <f>AND(#REF!,"AAAAAHuPt3U=")</f>
        <v>#REF!</v>
      </c>
      <c r="DO16" s="25" t="e">
        <f>AND(#REF!,"AAAAAHuPt3Y=")</f>
        <v>#REF!</v>
      </c>
      <c r="DP16" s="25" t="e">
        <f>AND(#REF!,"AAAAAHuPt3c=")</f>
        <v>#REF!</v>
      </c>
      <c r="DQ16" s="25" t="e">
        <f>IF(#REF!,"AAAAAHuPt3g=",0)</f>
        <v>#REF!</v>
      </c>
      <c r="DR16" s="25" t="e">
        <f>AND(#REF!,"AAAAAHuPt3k=")</f>
        <v>#REF!</v>
      </c>
      <c r="DS16" s="25" t="e">
        <f>AND(#REF!,"AAAAAHuPt3o=")</f>
        <v>#REF!</v>
      </c>
      <c r="DT16" s="25" t="e">
        <f>AND(#REF!,"AAAAAHuPt3s=")</f>
        <v>#REF!</v>
      </c>
      <c r="DU16" s="25" t="e">
        <f>AND(#REF!,"AAAAAHuPt3w=")</f>
        <v>#REF!</v>
      </c>
      <c r="DV16" s="25" t="e">
        <f>AND(#REF!,"AAAAAHuPt30=")</f>
        <v>#REF!</v>
      </c>
      <c r="DW16" s="25" t="e">
        <f>AND(#REF!,"AAAAAHuPt34=")</f>
        <v>#REF!</v>
      </c>
      <c r="DX16" s="25" t="e">
        <f>AND(#REF!,"AAAAAHuPt38=")</f>
        <v>#REF!</v>
      </c>
      <c r="DY16" s="25" t="e">
        <f>AND(#REF!,"AAAAAHuPt4A=")</f>
        <v>#REF!</v>
      </c>
      <c r="DZ16" s="25" t="e">
        <f>AND(#REF!,"AAAAAHuPt4E=")</f>
        <v>#REF!</v>
      </c>
      <c r="EA16" s="25" t="e">
        <f>AND(#REF!,"AAAAAHuPt4I=")</f>
        <v>#REF!</v>
      </c>
      <c r="EB16" s="25" t="e">
        <f>AND(#REF!,"AAAAAHuPt4M=")</f>
        <v>#REF!</v>
      </c>
      <c r="EC16" s="25" t="e">
        <f>AND(#REF!,"AAAAAHuPt4Q=")</f>
        <v>#REF!</v>
      </c>
      <c r="ED16" s="25" t="e">
        <f>AND(#REF!,"AAAAAHuPt4U=")</f>
        <v>#REF!</v>
      </c>
      <c r="EE16" s="25" t="e">
        <f>AND(#REF!,"AAAAAHuPt4Y=")</f>
        <v>#REF!</v>
      </c>
      <c r="EF16" s="25" t="e">
        <f>AND(#REF!,"AAAAAHuPt4c=")</f>
        <v>#REF!</v>
      </c>
      <c r="EG16" s="25" t="e">
        <f>AND(#REF!,"AAAAAHuPt4g=")</f>
        <v>#REF!</v>
      </c>
      <c r="EH16" s="25" t="e">
        <f>AND(#REF!,"AAAAAHuPt4k=")</f>
        <v>#REF!</v>
      </c>
      <c r="EI16" s="25" t="e">
        <f>AND(#REF!,"AAAAAHuPt4o=")</f>
        <v>#REF!</v>
      </c>
      <c r="EJ16" s="25" t="e">
        <f>AND(#REF!,"AAAAAHuPt4s=")</f>
        <v>#REF!</v>
      </c>
      <c r="EK16" s="25" t="e">
        <f>AND(#REF!,"AAAAAHuPt4w=")</f>
        <v>#REF!</v>
      </c>
      <c r="EL16" s="25" t="e">
        <f>AND(#REF!,"AAAAAHuPt40=")</f>
        <v>#REF!</v>
      </c>
      <c r="EM16" s="25" t="e">
        <f>IF(#REF!,"AAAAAHuPt44=",0)</f>
        <v>#REF!</v>
      </c>
      <c r="EN16" s="25" t="e">
        <f>AND(#REF!,"AAAAAHuPt48=")</f>
        <v>#REF!</v>
      </c>
      <c r="EO16" s="25" t="e">
        <f>AND(#REF!,"AAAAAHuPt5A=")</f>
        <v>#REF!</v>
      </c>
      <c r="EP16" s="25" t="e">
        <f>AND(#REF!,"AAAAAHuPt5E=")</f>
        <v>#REF!</v>
      </c>
      <c r="EQ16" s="25" t="e">
        <f>AND(#REF!,"AAAAAHuPt5I=")</f>
        <v>#REF!</v>
      </c>
      <c r="ER16" s="25" t="e">
        <f>AND(#REF!,"AAAAAHuPt5M=")</f>
        <v>#REF!</v>
      </c>
      <c r="ES16" s="25" t="e">
        <f>AND(#REF!,"AAAAAHuPt5Q=")</f>
        <v>#REF!</v>
      </c>
      <c r="ET16" s="25" t="e">
        <f>AND(#REF!,"AAAAAHuPt5U=")</f>
        <v>#REF!</v>
      </c>
      <c r="EU16" s="25" t="e">
        <f>AND(#REF!,"AAAAAHuPt5Y=")</f>
        <v>#REF!</v>
      </c>
      <c r="EV16" s="25" t="e">
        <f>AND(#REF!,"AAAAAHuPt5c=")</f>
        <v>#REF!</v>
      </c>
      <c r="EW16" s="25" t="e">
        <f>AND(#REF!,"AAAAAHuPt5g=")</f>
        <v>#REF!</v>
      </c>
      <c r="EX16" s="25" t="e">
        <f>AND(#REF!,"AAAAAHuPt5k=")</f>
        <v>#REF!</v>
      </c>
      <c r="EY16" s="25" t="e">
        <f>AND(#REF!,"AAAAAHuPt5o=")</f>
        <v>#REF!</v>
      </c>
      <c r="EZ16" s="25" t="e">
        <f>AND(#REF!,"AAAAAHuPt5s=")</f>
        <v>#REF!</v>
      </c>
      <c r="FA16" s="25" t="e">
        <f>AND(#REF!,"AAAAAHuPt5w=")</f>
        <v>#REF!</v>
      </c>
      <c r="FB16" s="25" t="e">
        <f>AND(#REF!,"AAAAAHuPt50=")</f>
        <v>#REF!</v>
      </c>
      <c r="FC16" s="25" t="e">
        <f>AND(#REF!,"AAAAAHuPt54=")</f>
        <v>#REF!</v>
      </c>
      <c r="FD16" s="25" t="e">
        <f>AND(#REF!,"AAAAAHuPt58=")</f>
        <v>#REF!</v>
      </c>
      <c r="FE16" s="25" t="e">
        <f>AND(#REF!,"AAAAAHuPt6A=")</f>
        <v>#REF!</v>
      </c>
      <c r="FF16" s="25" t="e">
        <f>AND(#REF!,"AAAAAHuPt6E=")</f>
        <v>#REF!</v>
      </c>
      <c r="FG16" s="25" t="e">
        <f>AND(#REF!,"AAAAAHuPt6I=")</f>
        <v>#REF!</v>
      </c>
      <c r="FH16" s="25" t="e">
        <f>AND(#REF!,"AAAAAHuPt6M=")</f>
        <v>#REF!</v>
      </c>
      <c r="FI16" s="25" t="e">
        <f>IF(#REF!,"AAAAAHuPt6Q=",0)</f>
        <v>#REF!</v>
      </c>
      <c r="FJ16" s="25" t="e">
        <f>AND(#REF!,"AAAAAHuPt6U=")</f>
        <v>#REF!</v>
      </c>
      <c r="FK16" s="25" t="e">
        <f>AND(#REF!,"AAAAAHuPt6Y=")</f>
        <v>#REF!</v>
      </c>
      <c r="FL16" s="25" t="e">
        <f>AND(#REF!,"AAAAAHuPt6c=")</f>
        <v>#REF!</v>
      </c>
      <c r="FM16" s="25" t="e">
        <f>AND(#REF!,"AAAAAHuPt6g=")</f>
        <v>#REF!</v>
      </c>
      <c r="FN16" s="25" t="e">
        <f>AND(#REF!,"AAAAAHuPt6k=")</f>
        <v>#REF!</v>
      </c>
      <c r="FO16" s="25" t="e">
        <f>AND(#REF!,"AAAAAHuPt6o=")</f>
        <v>#REF!</v>
      </c>
      <c r="FP16" s="25" t="e">
        <f>AND(#REF!,"AAAAAHuPt6s=")</f>
        <v>#REF!</v>
      </c>
      <c r="FQ16" s="25" t="e">
        <f>AND(#REF!,"AAAAAHuPt6w=")</f>
        <v>#REF!</v>
      </c>
      <c r="FR16" s="25" t="e">
        <f>AND(#REF!,"AAAAAHuPt60=")</f>
        <v>#REF!</v>
      </c>
      <c r="FS16" s="25" t="e">
        <f>AND(#REF!,"AAAAAHuPt64=")</f>
        <v>#REF!</v>
      </c>
      <c r="FT16" s="25" t="e">
        <f>AND(#REF!,"AAAAAHuPt68=")</f>
        <v>#REF!</v>
      </c>
      <c r="FU16" s="25" t="e">
        <f>AND(#REF!,"AAAAAHuPt7A=")</f>
        <v>#REF!</v>
      </c>
      <c r="FV16" s="25" t="e">
        <f>AND(#REF!,"AAAAAHuPt7E=")</f>
        <v>#REF!</v>
      </c>
      <c r="FW16" s="25" t="e">
        <f>AND(#REF!,"AAAAAHuPt7I=")</f>
        <v>#REF!</v>
      </c>
      <c r="FX16" s="25" t="e">
        <f>AND(#REF!,"AAAAAHuPt7M=")</f>
        <v>#REF!</v>
      </c>
      <c r="FY16" s="25" t="e">
        <f>AND(#REF!,"AAAAAHuPt7Q=")</f>
        <v>#REF!</v>
      </c>
      <c r="FZ16" s="25" t="e">
        <f>AND(#REF!,"AAAAAHuPt7U=")</f>
        <v>#REF!</v>
      </c>
      <c r="GA16" s="25" t="e">
        <f>AND(#REF!,"AAAAAHuPt7Y=")</f>
        <v>#REF!</v>
      </c>
      <c r="GB16" s="25" t="e">
        <f>AND(#REF!,"AAAAAHuPt7c=")</f>
        <v>#REF!</v>
      </c>
      <c r="GC16" s="25" t="e">
        <f>AND(#REF!,"AAAAAHuPt7g=")</f>
        <v>#REF!</v>
      </c>
      <c r="GD16" s="25" t="e">
        <f>AND(#REF!,"AAAAAHuPt7k=")</f>
        <v>#REF!</v>
      </c>
      <c r="GE16" s="25" t="e">
        <f>IF(#REF!,"AAAAAHuPt7o=",0)</f>
        <v>#REF!</v>
      </c>
      <c r="GF16" s="25" t="e">
        <f>AND(#REF!,"AAAAAHuPt7s=")</f>
        <v>#REF!</v>
      </c>
      <c r="GG16" s="25" t="e">
        <f>AND(#REF!,"AAAAAHuPt7w=")</f>
        <v>#REF!</v>
      </c>
      <c r="GH16" s="25" t="e">
        <f>AND(#REF!,"AAAAAHuPt70=")</f>
        <v>#REF!</v>
      </c>
      <c r="GI16" s="25" t="e">
        <f>AND(#REF!,"AAAAAHuPt74=")</f>
        <v>#REF!</v>
      </c>
      <c r="GJ16" s="25" t="e">
        <f>AND(#REF!,"AAAAAHuPt78=")</f>
        <v>#REF!</v>
      </c>
      <c r="GK16" s="25" t="e">
        <f>AND(#REF!,"AAAAAHuPt8A=")</f>
        <v>#REF!</v>
      </c>
      <c r="GL16" s="25" t="e">
        <f>AND(#REF!,"AAAAAHuPt8E=")</f>
        <v>#REF!</v>
      </c>
      <c r="GM16" s="25" t="e">
        <f>AND(#REF!,"AAAAAHuPt8I=")</f>
        <v>#REF!</v>
      </c>
      <c r="GN16" s="25" t="e">
        <f>AND(#REF!,"AAAAAHuPt8M=")</f>
        <v>#REF!</v>
      </c>
      <c r="GO16" s="25" t="e">
        <f>AND(#REF!,"AAAAAHuPt8Q=")</f>
        <v>#REF!</v>
      </c>
      <c r="GP16" s="25" t="e">
        <f>AND(#REF!,"AAAAAHuPt8U=")</f>
        <v>#REF!</v>
      </c>
      <c r="GQ16" s="25" t="e">
        <f>AND(#REF!,"AAAAAHuPt8Y=")</f>
        <v>#REF!</v>
      </c>
      <c r="GR16" s="25" t="e">
        <f>AND(#REF!,"AAAAAHuPt8c=")</f>
        <v>#REF!</v>
      </c>
      <c r="GS16" s="25" t="e">
        <f>AND(#REF!,"AAAAAHuPt8g=")</f>
        <v>#REF!</v>
      </c>
      <c r="GT16" s="25" t="e">
        <f>AND(#REF!,"AAAAAHuPt8k=")</f>
        <v>#REF!</v>
      </c>
      <c r="GU16" s="25" t="e">
        <f>AND(#REF!,"AAAAAHuPt8o=")</f>
        <v>#REF!</v>
      </c>
      <c r="GV16" s="25" t="e">
        <f>AND(#REF!,"AAAAAHuPt8s=")</f>
        <v>#REF!</v>
      </c>
      <c r="GW16" s="25" t="e">
        <f>AND(#REF!,"AAAAAHuPt8w=")</f>
        <v>#REF!</v>
      </c>
      <c r="GX16" s="25" t="e">
        <f>AND(#REF!,"AAAAAHuPt80=")</f>
        <v>#REF!</v>
      </c>
      <c r="GY16" s="25" t="e">
        <f>AND(#REF!,"AAAAAHuPt84=")</f>
        <v>#REF!</v>
      </c>
      <c r="GZ16" s="25" t="e">
        <f>AND(#REF!,"AAAAAHuPt88=")</f>
        <v>#REF!</v>
      </c>
      <c r="HA16" s="25" t="e">
        <f>IF(#REF!,"AAAAAHuPt9A=",0)</f>
        <v>#REF!</v>
      </c>
      <c r="HB16" s="25" t="e">
        <f>AND(#REF!,"AAAAAHuPt9E=")</f>
        <v>#REF!</v>
      </c>
      <c r="HC16" s="25" t="e">
        <f>AND(#REF!,"AAAAAHuPt9I=")</f>
        <v>#REF!</v>
      </c>
      <c r="HD16" s="25" t="e">
        <f>AND(#REF!,"AAAAAHuPt9M=")</f>
        <v>#REF!</v>
      </c>
      <c r="HE16" s="25" t="e">
        <f>AND(#REF!,"AAAAAHuPt9Q=")</f>
        <v>#REF!</v>
      </c>
      <c r="HF16" s="25" t="e">
        <f>AND(#REF!,"AAAAAHuPt9U=")</f>
        <v>#REF!</v>
      </c>
      <c r="HG16" s="25" t="e">
        <f>AND(#REF!,"AAAAAHuPt9Y=")</f>
        <v>#REF!</v>
      </c>
      <c r="HH16" s="25" t="e">
        <f>AND(#REF!,"AAAAAHuPt9c=")</f>
        <v>#REF!</v>
      </c>
      <c r="HI16" s="25" t="e">
        <f>AND(#REF!,"AAAAAHuPt9g=")</f>
        <v>#REF!</v>
      </c>
      <c r="HJ16" s="25" t="e">
        <f>AND(#REF!,"AAAAAHuPt9k=")</f>
        <v>#REF!</v>
      </c>
      <c r="HK16" s="25" t="e">
        <f>AND(#REF!,"AAAAAHuPt9o=")</f>
        <v>#REF!</v>
      </c>
      <c r="HL16" s="25" t="e">
        <f>AND(#REF!,"AAAAAHuPt9s=")</f>
        <v>#REF!</v>
      </c>
      <c r="HM16" s="25" t="e">
        <f>AND(#REF!,"AAAAAHuPt9w=")</f>
        <v>#REF!</v>
      </c>
      <c r="HN16" s="25" t="e">
        <f>AND(#REF!,"AAAAAHuPt90=")</f>
        <v>#REF!</v>
      </c>
      <c r="HO16" s="25" t="e">
        <f>AND(#REF!,"AAAAAHuPt94=")</f>
        <v>#REF!</v>
      </c>
      <c r="HP16" s="25" t="e">
        <f>AND(#REF!,"AAAAAHuPt98=")</f>
        <v>#REF!</v>
      </c>
      <c r="HQ16" s="25" t="e">
        <f>AND(#REF!,"AAAAAHuPt+A=")</f>
        <v>#REF!</v>
      </c>
      <c r="HR16" s="25" t="e">
        <f>AND(#REF!,"AAAAAHuPt+E=")</f>
        <v>#REF!</v>
      </c>
      <c r="HS16" s="25" t="e">
        <f>AND(#REF!,"AAAAAHuPt+I=")</f>
        <v>#REF!</v>
      </c>
      <c r="HT16" s="25" t="e">
        <f>AND(#REF!,"AAAAAHuPt+M=")</f>
        <v>#REF!</v>
      </c>
      <c r="HU16" s="25" t="e">
        <f>AND(#REF!,"AAAAAHuPt+Q=")</f>
        <v>#REF!</v>
      </c>
      <c r="HV16" s="25" t="e">
        <f>AND(#REF!,"AAAAAHuPt+U=")</f>
        <v>#REF!</v>
      </c>
      <c r="HW16" s="25" t="e">
        <f>IF(#REF!,"AAAAAHuPt+Y=",0)</f>
        <v>#REF!</v>
      </c>
      <c r="HX16" s="25" t="e">
        <f>AND(#REF!,"AAAAAHuPt+c=")</f>
        <v>#REF!</v>
      </c>
      <c r="HY16" s="25" t="e">
        <f>AND(#REF!,"AAAAAHuPt+g=")</f>
        <v>#REF!</v>
      </c>
      <c r="HZ16" s="25" t="e">
        <f>AND(#REF!,"AAAAAHuPt+k=")</f>
        <v>#REF!</v>
      </c>
      <c r="IA16" s="25" t="e">
        <f>AND(#REF!,"AAAAAHuPt+o=")</f>
        <v>#REF!</v>
      </c>
      <c r="IB16" s="25" t="e">
        <f>AND(#REF!,"AAAAAHuPt+s=")</f>
        <v>#REF!</v>
      </c>
      <c r="IC16" s="25" t="e">
        <f>AND(#REF!,"AAAAAHuPt+w=")</f>
        <v>#REF!</v>
      </c>
      <c r="ID16" s="25" t="e">
        <f>AND(#REF!,"AAAAAHuPt+0=")</f>
        <v>#REF!</v>
      </c>
      <c r="IE16" s="25" t="e">
        <f>AND(#REF!,"AAAAAHuPt+4=")</f>
        <v>#REF!</v>
      </c>
      <c r="IF16" s="25" t="e">
        <f>AND(#REF!,"AAAAAHuPt+8=")</f>
        <v>#REF!</v>
      </c>
      <c r="IG16" s="25" t="e">
        <f>AND(#REF!,"AAAAAHuPt/A=")</f>
        <v>#REF!</v>
      </c>
      <c r="IH16" s="25" t="e">
        <f>AND(#REF!,"AAAAAHuPt/E=")</f>
        <v>#REF!</v>
      </c>
      <c r="II16" s="25" t="e">
        <f>AND(#REF!,"AAAAAHuPt/I=")</f>
        <v>#REF!</v>
      </c>
      <c r="IJ16" s="25" t="e">
        <f>AND(#REF!,"AAAAAHuPt/M=")</f>
        <v>#REF!</v>
      </c>
      <c r="IK16" s="25" t="e">
        <f>AND(#REF!,"AAAAAHuPt/Q=")</f>
        <v>#REF!</v>
      </c>
      <c r="IL16" s="25" t="e">
        <f>AND(#REF!,"AAAAAHuPt/U=")</f>
        <v>#REF!</v>
      </c>
      <c r="IM16" s="25" t="e">
        <f>AND(#REF!,"AAAAAHuPt/Y=")</f>
        <v>#REF!</v>
      </c>
      <c r="IN16" s="25" t="e">
        <f>AND(#REF!,"AAAAAHuPt/c=")</f>
        <v>#REF!</v>
      </c>
      <c r="IO16" s="25" t="e">
        <f>AND(#REF!,"AAAAAHuPt/g=")</f>
        <v>#REF!</v>
      </c>
      <c r="IP16" s="25" t="e">
        <f>AND(#REF!,"AAAAAHuPt/k=")</f>
        <v>#REF!</v>
      </c>
      <c r="IQ16" s="25" t="e">
        <f>AND(#REF!,"AAAAAHuPt/o=")</f>
        <v>#REF!</v>
      </c>
      <c r="IR16" s="25" t="e">
        <f>AND(#REF!,"AAAAAHuPt/s=")</f>
        <v>#REF!</v>
      </c>
      <c r="IS16" s="25" t="e">
        <f>IF(#REF!,"AAAAAHuPt/w=",0)</f>
        <v>#REF!</v>
      </c>
      <c r="IT16" s="25" t="e">
        <f>AND(#REF!,"AAAAAHuPt/0=")</f>
        <v>#REF!</v>
      </c>
      <c r="IU16" s="25" t="e">
        <f>AND(#REF!,"AAAAAHuPt/4=")</f>
        <v>#REF!</v>
      </c>
      <c r="IV16" s="25" t="e">
        <f>AND(#REF!,"AAAAAHuPt/8=")</f>
        <v>#REF!</v>
      </c>
    </row>
    <row r="17" spans="1:129" ht="12.75" customHeight="1" x14ac:dyDescent="0.2">
      <c r="A17" s="25" t="e">
        <f>AND(#REF!,"AAAAAH/0vwA=")</f>
        <v>#REF!</v>
      </c>
      <c r="B17" s="25" t="e">
        <f>AND(#REF!,"AAAAAH/0vwE=")</f>
        <v>#REF!</v>
      </c>
      <c r="C17" s="25" t="e">
        <f>AND(#REF!,"AAAAAH/0vwI=")</f>
        <v>#REF!</v>
      </c>
      <c r="D17" s="25" t="e">
        <f>AND(#REF!,"AAAAAH/0vwM=")</f>
        <v>#REF!</v>
      </c>
      <c r="E17" s="25" t="e">
        <f>AND(#REF!,"AAAAAH/0vwQ=")</f>
        <v>#REF!</v>
      </c>
      <c r="F17" s="25" t="e">
        <f>AND(#REF!,"AAAAAH/0vwU=")</f>
        <v>#REF!</v>
      </c>
      <c r="G17" s="25" t="e">
        <f>AND(#REF!,"AAAAAH/0vwY=")</f>
        <v>#REF!</v>
      </c>
      <c r="H17" s="25" t="e">
        <f>AND(#REF!,"AAAAAH/0vwc=")</f>
        <v>#REF!</v>
      </c>
      <c r="I17" s="25" t="e">
        <f>AND(#REF!,"AAAAAH/0vwg=")</f>
        <v>#REF!</v>
      </c>
      <c r="J17" s="25" t="e">
        <f>AND(#REF!,"AAAAAH/0vwk=")</f>
        <v>#REF!</v>
      </c>
      <c r="K17" s="25" t="e">
        <f>AND(#REF!,"AAAAAH/0vwo=")</f>
        <v>#REF!</v>
      </c>
      <c r="L17" s="25" t="e">
        <f>AND(#REF!,"AAAAAH/0vws=")</f>
        <v>#REF!</v>
      </c>
      <c r="M17" s="25" t="e">
        <f>AND(#REF!,"AAAAAH/0vww=")</f>
        <v>#REF!</v>
      </c>
      <c r="N17" s="25" t="e">
        <f>AND(#REF!,"AAAAAH/0vw0=")</f>
        <v>#REF!</v>
      </c>
      <c r="O17" s="25" t="e">
        <f>AND(#REF!,"AAAAAH/0vw4=")</f>
        <v>#REF!</v>
      </c>
      <c r="P17" s="25" t="e">
        <f>AND(#REF!,"AAAAAH/0vw8=")</f>
        <v>#REF!</v>
      </c>
      <c r="Q17" s="25" t="e">
        <f>AND(#REF!,"AAAAAH/0vxA=")</f>
        <v>#REF!</v>
      </c>
      <c r="R17" s="25" t="e">
        <f>AND(#REF!,"AAAAAH/0vxE=")</f>
        <v>#REF!</v>
      </c>
      <c r="S17" s="25" t="e">
        <f>IF(#REF!,"AAAAAH/0vxI=",0)</f>
        <v>#REF!</v>
      </c>
      <c r="T17" s="25" t="e">
        <f>AND(#REF!,"AAAAAH/0vxM=")</f>
        <v>#REF!</v>
      </c>
      <c r="U17" s="25" t="e">
        <f>AND(#REF!,"AAAAAH/0vxQ=")</f>
        <v>#REF!</v>
      </c>
      <c r="V17" s="25" t="e">
        <f>AND(#REF!,"AAAAAH/0vxU=")</f>
        <v>#REF!</v>
      </c>
      <c r="W17" s="25" t="e">
        <f>AND(#REF!,"AAAAAH/0vxY=")</f>
        <v>#REF!</v>
      </c>
      <c r="X17" s="25" t="e">
        <f>AND(#REF!,"AAAAAH/0vxc=")</f>
        <v>#REF!</v>
      </c>
      <c r="Y17" s="25" t="e">
        <f>AND(#REF!,"AAAAAH/0vxg=")</f>
        <v>#REF!</v>
      </c>
      <c r="Z17" s="25" t="e">
        <f>AND(#REF!,"AAAAAH/0vxk=")</f>
        <v>#REF!</v>
      </c>
      <c r="AA17" s="25" t="e">
        <f>AND(#REF!,"AAAAAH/0vxo=")</f>
        <v>#REF!</v>
      </c>
      <c r="AB17" s="25" t="e">
        <f>AND(#REF!,"AAAAAH/0vxs=")</f>
        <v>#REF!</v>
      </c>
      <c r="AC17" s="25" t="e">
        <f>AND(#REF!,"AAAAAH/0vxw=")</f>
        <v>#REF!</v>
      </c>
      <c r="AD17" s="25" t="e">
        <f>AND(#REF!,"AAAAAH/0vx0=")</f>
        <v>#REF!</v>
      </c>
      <c r="AE17" s="25" t="e">
        <f>AND(#REF!,"AAAAAH/0vx4=")</f>
        <v>#REF!</v>
      </c>
      <c r="AF17" s="25" t="e">
        <f>AND(#REF!,"AAAAAH/0vx8=")</f>
        <v>#REF!</v>
      </c>
      <c r="AG17" s="25" t="e">
        <f>AND(#REF!,"AAAAAH/0vyA=")</f>
        <v>#REF!</v>
      </c>
      <c r="AH17" s="25" t="e">
        <f>AND(#REF!,"AAAAAH/0vyE=")</f>
        <v>#REF!</v>
      </c>
      <c r="AI17" s="25" t="e">
        <f>AND(#REF!,"AAAAAH/0vyI=")</f>
        <v>#REF!</v>
      </c>
      <c r="AJ17" s="25" t="e">
        <f>AND(#REF!,"AAAAAH/0vyM=")</f>
        <v>#REF!</v>
      </c>
      <c r="AK17" s="25" t="e">
        <f>AND(#REF!,"AAAAAH/0vyQ=")</f>
        <v>#REF!</v>
      </c>
      <c r="AL17" s="25" t="e">
        <f>AND(#REF!,"AAAAAH/0vyU=")</f>
        <v>#REF!</v>
      </c>
      <c r="AM17" s="25" t="e">
        <f>AND(#REF!,"AAAAAH/0vyY=")</f>
        <v>#REF!</v>
      </c>
      <c r="AN17" s="25" t="e">
        <f>AND(#REF!,"AAAAAH/0vyc=")</f>
        <v>#REF!</v>
      </c>
      <c r="AO17" s="25" t="e">
        <f>IF(#REF!,"AAAAAH/0vyg=",0)</f>
        <v>#REF!</v>
      </c>
      <c r="AP17" s="25" t="e">
        <f>AND(#REF!,"AAAAAH/0vyk=")</f>
        <v>#REF!</v>
      </c>
      <c r="AQ17" s="25" t="e">
        <f>AND(#REF!,"AAAAAH/0vyo=")</f>
        <v>#REF!</v>
      </c>
      <c r="AR17" s="25" t="e">
        <f>AND(#REF!,"AAAAAH/0vys=")</f>
        <v>#REF!</v>
      </c>
      <c r="AS17" s="25" t="e">
        <f>AND(#REF!,"AAAAAH/0vyw=")</f>
        <v>#REF!</v>
      </c>
      <c r="AT17" s="25" t="e">
        <f>AND(#REF!,"AAAAAH/0vy0=")</f>
        <v>#REF!</v>
      </c>
      <c r="AU17" s="25" t="e">
        <f>AND(#REF!,"AAAAAH/0vy4=")</f>
        <v>#REF!</v>
      </c>
      <c r="AV17" s="25" t="e">
        <f>AND(#REF!,"AAAAAH/0vy8=")</f>
        <v>#REF!</v>
      </c>
      <c r="AW17" s="25" t="e">
        <f>AND(#REF!,"AAAAAH/0vzA=")</f>
        <v>#REF!</v>
      </c>
      <c r="AX17" s="25" t="e">
        <f>AND(#REF!,"AAAAAH/0vzE=")</f>
        <v>#REF!</v>
      </c>
      <c r="AY17" s="25" t="e">
        <f>AND(#REF!,"AAAAAH/0vzI=")</f>
        <v>#REF!</v>
      </c>
      <c r="AZ17" s="25" t="e">
        <f>AND(#REF!,"AAAAAH/0vzM=")</f>
        <v>#REF!</v>
      </c>
      <c r="BA17" s="25" t="e">
        <f>AND(#REF!,"AAAAAH/0vzQ=")</f>
        <v>#REF!</v>
      </c>
      <c r="BB17" s="25" t="e">
        <f>AND(#REF!,"AAAAAH/0vzU=")</f>
        <v>#REF!</v>
      </c>
      <c r="BC17" s="25" t="e">
        <f>AND(#REF!,"AAAAAH/0vzY=")</f>
        <v>#REF!</v>
      </c>
      <c r="BD17" s="25" t="e">
        <f>AND(#REF!,"AAAAAH/0vzc=")</f>
        <v>#REF!</v>
      </c>
      <c r="BE17" s="25" t="e">
        <f>AND(#REF!,"AAAAAH/0vzg=")</f>
        <v>#REF!</v>
      </c>
      <c r="BF17" s="25" t="e">
        <f>AND(#REF!,"AAAAAH/0vzk=")</f>
        <v>#REF!</v>
      </c>
      <c r="BG17" s="25" t="e">
        <f>AND(#REF!,"AAAAAH/0vzo=")</f>
        <v>#REF!</v>
      </c>
      <c r="BH17" s="25" t="e">
        <f>AND(#REF!,"AAAAAH/0vzs=")</f>
        <v>#REF!</v>
      </c>
      <c r="BI17" s="25" t="e">
        <f>AND(#REF!,"AAAAAH/0vzw=")</f>
        <v>#REF!</v>
      </c>
      <c r="BJ17" s="25" t="e">
        <f>AND(#REF!,"AAAAAH/0vz0=")</f>
        <v>#REF!</v>
      </c>
      <c r="BK17" s="25" t="e">
        <f>IF(#REF!,"AAAAAH/0vz4=",0)</f>
        <v>#REF!</v>
      </c>
      <c r="BL17" s="25" t="e">
        <f>AND(#REF!,"AAAAAH/0vz8=")</f>
        <v>#REF!</v>
      </c>
      <c r="BM17" s="25" t="e">
        <f>AND(#REF!,"AAAAAH/0v0A=")</f>
        <v>#REF!</v>
      </c>
      <c r="BN17" s="25" t="e">
        <f>AND(#REF!,"AAAAAH/0v0E=")</f>
        <v>#REF!</v>
      </c>
      <c r="BO17" s="25" t="e">
        <f>AND(#REF!,"AAAAAH/0v0I=")</f>
        <v>#REF!</v>
      </c>
      <c r="BP17" s="25" t="e">
        <f>AND(#REF!,"AAAAAH/0v0M=")</f>
        <v>#REF!</v>
      </c>
      <c r="BQ17" s="25" t="e">
        <f>AND(#REF!,"AAAAAH/0v0Q=")</f>
        <v>#REF!</v>
      </c>
      <c r="BR17" s="25" t="e">
        <f>AND(#REF!,"AAAAAH/0v0U=")</f>
        <v>#REF!</v>
      </c>
      <c r="BS17" s="25" t="e">
        <f>AND(#REF!,"AAAAAH/0v0Y=")</f>
        <v>#REF!</v>
      </c>
      <c r="BT17" s="25" t="e">
        <f>AND(#REF!,"AAAAAH/0v0c=")</f>
        <v>#REF!</v>
      </c>
      <c r="BU17" s="25" t="e">
        <f>AND(#REF!,"AAAAAH/0v0g=")</f>
        <v>#REF!</v>
      </c>
      <c r="BV17" s="25" t="e">
        <f>AND(#REF!,"AAAAAH/0v0k=")</f>
        <v>#REF!</v>
      </c>
      <c r="BW17" s="25" t="e">
        <f>AND(#REF!,"AAAAAH/0v0o=")</f>
        <v>#REF!</v>
      </c>
      <c r="BX17" s="25" t="e">
        <f>AND(#REF!,"AAAAAH/0v0s=")</f>
        <v>#REF!</v>
      </c>
      <c r="BY17" s="25" t="e">
        <f>AND(#REF!,"AAAAAH/0v0w=")</f>
        <v>#REF!</v>
      </c>
      <c r="BZ17" s="25" t="e">
        <f>AND(#REF!,"AAAAAH/0v00=")</f>
        <v>#REF!</v>
      </c>
      <c r="CA17" s="25" t="e">
        <f>AND(#REF!,"AAAAAH/0v04=")</f>
        <v>#REF!</v>
      </c>
      <c r="CB17" s="25" t="e">
        <f>AND(#REF!,"AAAAAH/0v08=")</f>
        <v>#REF!</v>
      </c>
      <c r="CC17" s="25" t="e">
        <f>AND(#REF!,"AAAAAH/0v1A=")</f>
        <v>#REF!</v>
      </c>
      <c r="CD17" s="25" t="e">
        <f>AND(#REF!,"AAAAAH/0v1E=")</f>
        <v>#REF!</v>
      </c>
      <c r="CE17" s="25" t="e">
        <f>AND(#REF!,"AAAAAH/0v1I=")</f>
        <v>#REF!</v>
      </c>
      <c r="CF17" s="25" t="e">
        <f>AND(#REF!,"AAAAAH/0v1M=")</f>
        <v>#REF!</v>
      </c>
      <c r="CG17" s="25" t="e">
        <f>IF(#REF!,"AAAAAH/0v1Q=",0)</f>
        <v>#REF!</v>
      </c>
      <c r="CH17" s="25" t="e">
        <f>AND(#REF!,"AAAAAH/0v1U=")</f>
        <v>#REF!</v>
      </c>
      <c r="CI17" s="25" t="e">
        <f>AND(#REF!,"AAAAAH/0v1Y=")</f>
        <v>#REF!</v>
      </c>
      <c r="CJ17" s="25" t="e">
        <f>AND(#REF!,"AAAAAH/0v1c=")</f>
        <v>#REF!</v>
      </c>
      <c r="CK17" s="25" t="e">
        <f>AND(#REF!,"AAAAAH/0v1g=")</f>
        <v>#REF!</v>
      </c>
      <c r="CL17" s="25" t="e">
        <f>AND(#REF!,"AAAAAH/0v1k=")</f>
        <v>#REF!</v>
      </c>
      <c r="CM17" s="25" t="e">
        <f>AND(#REF!,"AAAAAH/0v1o=")</f>
        <v>#REF!</v>
      </c>
      <c r="CN17" s="25" t="e">
        <f>AND(#REF!,"AAAAAH/0v1s=")</f>
        <v>#REF!</v>
      </c>
      <c r="CO17" s="25" t="e">
        <f>AND(#REF!,"AAAAAH/0v1w=")</f>
        <v>#REF!</v>
      </c>
      <c r="CP17" s="25" t="e">
        <f>AND(#REF!,"AAAAAH/0v10=")</f>
        <v>#REF!</v>
      </c>
      <c r="CQ17" s="25" t="e">
        <f>AND(#REF!,"AAAAAH/0v14=")</f>
        <v>#REF!</v>
      </c>
      <c r="CR17" s="25" t="e">
        <f>AND(#REF!,"AAAAAH/0v18=")</f>
        <v>#REF!</v>
      </c>
      <c r="CS17" s="25" t="e">
        <f>AND(#REF!,"AAAAAH/0v2A=")</f>
        <v>#REF!</v>
      </c>
      <c r="CT17" s="25" t="e">
        <f>AND(#REF!,"AAAAAH/0v2E=")</f>
        <v>#REF!</v>
      </c>
      <c r="CU17" s="25" t="e">
        <f>AND(#REF!,"AAAAAH/0v2I=")</f>
        <v>#REF!</v>
      </c>
      <c r="CV17" s="25" t="e">
        <f>AND(#REF!,"AAAAAH/0v2M=")</f>
        <v>#REF!</v>
      </c>
      <c r="CW17" s="25" t="e">
        <f>AND(#REF!,"AAAAAH/0v2Q=")</f>
        <v>#REF!</v>
      </c>
      <c r="CX17" s="25" t="e">
        <f>AND(#REF!,"AAAAAH/0v2U=")</f>
        <v>#REF!</v>
      </c>
      <c r="CY17" s="25" t="e">
        <f>AND(#REF!,"AAAAAH/0v2Y=")</f>
        <v>#REF!</v>
      </c>
      <c r="CZ17" s="25" t="e">
        <f>AND(#REF!,"AAAAAH/0v2c=")</f>
        <v>#REF!</v>
      </c>
      <c r="DA17" s="25" t="e">
        <f>AND(#REF!,"AAAAAH/0v2g=")</f>
        <v>#REF!</v>
      </c>
      <c r="DB17" s="25" t="e">
        <f>AND(#REF!,"AAAAAH/0v2k=")</f>
        <v>#REF!</v>
      </c>
      <c r="DC17" s="25" t="e">
        <f>IF(#REF!,"AAAAAH/0v2o=",0)</f>
        <v>#REF!</v>
      </c>
      <c r="DD17" s="25" t="e">
        <f>IF(#REF!,"AAAAAH/0v2s=",0)</f>
        <v>#REF!</v>
      </c>
      <c r="DE17" s="25" t="e">
        <f>IF(#REF!,"AAAAAH/0v2w=",0)</f>
        <v>#REF!</v>
      </c>
      <c r="DF17" s="25" t="e">
        <f>IF(#REF!,"AAAAAH/0v20=",0)</f>
        <v>#REF!</v>
      </c>
      <c r="DG17" s="25" t="e">
        <f>IF(#REF!,"AAAAAH/0v24=",0)</f>
        <v>#REF!</v>
      </c>
      <c r="DH17" s="25" t="e">
        <f>IF(#REF!,"AAAAAH/0v28=",0)</f>
        <v>#REF!</v>
      </c>
      <c r="DI17" s="25" t="e">
        <f>IF(#REF!,"AAAAAH/0v3A=",0)</f>
        <v>#REF!</v>
      </c>
      <c r="DJ17" s="25" t="e">
        <f>IF(#REF!,"AAAAAH/0v3E=",0)</f>
        <v>#REF!</v>
      </c>
      <c r="DK17" s="25" t="e">
        <f>IF(#REF!,"AAAAAH/0v3I=",0)</f>
        <v>#REF!</v>
      </c>
      <c r="DL17" s="25" t="e">
        <f>IF(#REF!,"AAAAAH/0v3M=",0)</f>
        <v>#REF!</v>
      </c>
      <c r="DM17" s="25" t="e">
        <f>IF(#REF!,"AAAAAH/0v3Q=",0)</f>
        <v>#REF!</v>
      </c>
      <c r="DN17" s="25" t="e">
        <f>IF(#REF!,"AAAAAH/0v3U=",0)</f>
        <v>#REF!</v>
      </c>
      <c r="DO17" s="25" t="e">
        <f>IF(#REF!,"AAAAAH/0v3Y=",0)</f>
        <v>#REF!</v>
      </c>
      <c r="DP17" s="25" t="e">
        <f>IF(#REF!,"AAAAAH/0v3c=",0)</f>
        <v>#REF!</v>
      </c>
      <c r="DQ17" s="25" t="e">
        <f>IF(#REF!,"AAAAAH/0v3g=",0)</f>
        <v>#REF!</v>
      </c>
      <c r="DR17" s="25" t="e">
        <f>IF(#REF!,"AAAAAH/0v3k=",0)</f>
        <v>#REF!</v>
      </c>
      <c r="DS17" s="25" t="e">
        <f>IF(#REF!,"AAAAAH/0v3o=",0)</f>
        <v>#REF!</v>
      </c>
      <c r="DT17" s="25" t="e">
        <f>IF(#REF!,"AAAAAH/0v3s=",0)</f>
        <v>#REF!</v>
      </c>
      <c r="DU17" s="25" t="e">
        <f>IF(#REF!,"AAAAAH/0v3w=",0)</f>
        <v>#REF!</v>
      </c>
      <c r="DV17" s="25" t="e">
        <f>IF(#REF!,"AAAAAH/0v30=",0)</f>
        <v>#REF!</v>
      </c>
      <c r="DW17" s="25" t="e">
        <f>IF(#REF!,"AAAAAH/0v34=",0)</f>
        <v>#REF!</v>
      </c>
      <c r="DX17" s="25" t="e">
        <f>IF(#REF!,"AAAAAH/0v38=",0)</f>
        <v>#REF!</v>
      </c>
      <c r="DY17" s="25" t="s">
        <v>25</v>
      </c>
    </row>
    <row r="18" spans="1:129" ht="12.75" customHeight="1" x14ac:dyDescent="0.2"/>
    <row r="19" spans="1:129" ht="12.75" customHeight="1" x14ac:dyDescent="0.2"/>
    <row r="20" spans="1:129" ht="12.75" customHeight="1" x14ac:dyDescent="0.2"/>
    <row r="21" spans="1:129" ht="12.75" customHeight="1" x14ac:dyDescent="0.2"/>
    <row r="22" spans="1:129" ht="12.75" customHeight="1" x14ac:dyDescent="0.2"/>
    <row r="23" spans="1:129" ht="12.75" customHeight="1" x14ac:dyDescent="0.2"/>
    <row r="24" spans="1:129" ht="12.75" customHeight="1" x14ac:dyDescent="0.2"/>
    <row r="25" spans="1:129" ht="12.75" customHeight="1" x14ac:dyDescent="0.2"/>
    <row r="26" spans="1:129" ht="12.75" customHeight="1" x14ac:dyDescent="0.2"/>
    <row r="27" spans="1:129" ht="12.75" customHeight="1" x14ac:dyDescent="0.2"/>
    <row r="28" spans="1:129" ht="12.75" customHeight="1" x14ac:dyDescent="0.2"/>
    <row r="29" spans="1:129" ht="12.75" customHeight="1" x14ac:dyDescent="0.2"/>
    <row r="30" spans="1:129" ht="12.75" customHeight="1" x14ac:dyDescent="0.2"/>
    <row r="31" spans="1:129" ht="12.75" customHeight="1" x14ac:dyDescent="0.2"/>
    <row r="32" spans="1:12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Maret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billing</cp:lastModifiedBy>
  <dcterms:modified xsi:type="dcterms:W3CDTF">2025-04-03T06:08:28Z</dcterms:modified>
</cp:coreProperties>
</file>