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3\"/>
    </mc:Choice>
  </mc:AlternateContent>
  <xr:revisionPtr revIDLastSave="0" documentId="8_{9BBE48D1-40A6-43AE-8794-7D9B992DB84B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  <sheet name="Sheet3" sheetId="4" r:id="rId2"/>
    <sheet name="Sheet2" sheetId="3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AL6" i="1" l="1"/>
  <c r="F28" i="1" l="1"/>
  <c r="U6" i="1" l="1"/>
  <c r="U7" i="1"/>
  <c r="U5" i="1"/>
  <c r="U9" i="1"/>
  <c r="U11" i="1"/>
  <c r="U12" i="1"/>
  <c r="F19" i="4"/>
  <c r="W9" i="1"/>
  <c r="W10" i="1"/>
  <c r="W11" i="1"/>
  <c r="W12" i="1"/>
  <c r="W13" i="1"/>
  <c r="W14" i="1"/>
  <c r="W15" i="1"/>
  <c r="W16" i="1"/>
  <c r="W17" i="1"/>
  <c r="W5" i="1"/>
  <c r="W6" i="1"/>
  <c r="W7" i="1"/>
  <c r="J18" i="1" l="1"/>
  <c r="F30" i="1"/>
  <c r="R5" i="1" l="1"/>
  <c r="R7" i="1"/>
  <c r="R6" i="1"/>
  <c r="R8" i="1"/>
  <c r="R9" i="1"/>
  <c r="R10" i="1" l="1"/>
  <c r="R11" i="1"/>
  <c r="R13" i="1"/>
  <c r="R12" i="1"/>
  <c r="R14" i="1"/>
  <c r="R15" i="1"/>
  <c r="T11" i="1" l="1"/>
  <c r="T13" i="1"/>
  <c r="T12" i="1"/>
  <c r="T14" i="1"/>
  <c r="T15" i="1"/>
  <c r="T5" i="1"/>
  <c r="T7" i="1"/>
  <c r="T6" i="1"/>
  <c r="T8" i="1"/>
  <c r="T9" i="1"/>
  <c r="P7" i="1"/>
  <c r="P6" i="1"/>
  <c r="AD6" i="1" s="1"/>
  <c r="P8" i="1"/>
  <c r="P9" i="1"/>
  <c r="P10" i="1"/>
  <c r="P11" i="1"/>
  <c r="P13" i="1"/>
  <c r="P12" i="1"/>
  <c r="P14" i="1"/>
  <c r="P15" i="1"/>
  <c r="P16" i="1"/>
  <c r="P17" i="1"/>
  <c r="U13" i="1" l="1"/>
  <c r="AD13" i="1"/>
  <c r="U15" i="1"/>
  <c r="AD15" i="1"/>
  <c r="S11" i="1"/>
  <c r="AD11" i="1"/>
  <c r="AD14" i="1"/>
  <c r="U14" i="1"/>
  <c r="AD10" i="1"/>
  <c r="U10" i="1"/>
  <c r="S7" i="1"/>
  <c r="AD7" i="1"/>
  <c r="S12" i="1"/>
  <c r="AD12" i="1"/>
  <c r="S9" i="1"/>
  <c r="AD9" i="1"/>
  <c r="AD8" i="1"/>
  <c r="U8" i="1"/>
  <c r="S15" i="1"/>
  <c r="S6" i="1"/>
  <c r="S14" i="1"/>
  <c r="S13" i="1"/>
  <c r="I3" i="2"/>
  <c r="F6" i="4"/>
  <c r="F7" i="4"/>
  <c r="F5" i="4"/>
  <c r="A10" i="2" l="1"/>
  <c r="A11" i="2" s="1"/>
  <c r="A12" i="2" s="1"/>
  <c r="I4" i="2"/>
  <c r="P37" i="3"/>
  <c r="N37" i="3"/>
  <c r="L37" i="3"/>
  <c r="S36" i="3"/>
  <c r="Q36" i="3"/>
  <c r="O36" i="3"/>
  <c r="M36" i="3"/>
  <c r="T36" i="3" s="1"/>
  <c r="S35" i="3"/>
  <c r="Q35" i="3"/>
  <c r="O35" i="3"/>
  <c r="M35" i="3"/>
  <c r="T35" i="3" s="1"/>
  <c r="S34" i="3"/>
  <c r="Q34" i="3"/>
  <c r="O34" i="3"/>
  <c r="M34" i="3"/>
  <c r="T34" i="3" s="1"/>
  <c r="S33" i="3"/>
  <c r="Q33" i="3"/>
  <c r="O33" i="3"/>
  <c r="M33" i="3"/>
  <c r="T33" i="3" s="1"/>
  <c r="S32" i="3"/>
  <c r="Q32" i="3"/>
  <c r="O32" i="3"/>
  <c r="M32" i="3"/>
  <c r="T32" i="3" s="1"/>
  <c r="S31" i="3"/>
  <c r="Q31" i="3"/>
  <c r="O31" i="3"/>
  <c r="M31" i="3"/>
  <c r="T31" i="3" s="1"/>
  <c r="S30" i="3"/>
  <c r="Q30" i="3"/>
  <c r="O30" i="3"/>
  <c r="M30" i="3"/>
  <c r="T30" i="3" s="1"/>
  <c r="S29" i="3"/>
  <c r="Q29" i="3"/>
  <c r="O29" i="3"/>
  <c r="M29" i="3"/>
  <c r="T29" i="3" s="1"/>
  <c r="S28" i="3"/>
  <c r="Q28" i="3"/>
  <c r="O28" i="3"/>
  <c r="M28" i="3"/>
  <c r="T28" i="3" s="1"/>
  <c r="S27" i="3"/>
  <c r="Q27" i="3"/>
  <c r="O27" i="3"/>
  <c r="O37" i="3" s="1"/>
  <c r="M27" i="3"/>
  <c r="T27" i="3" s="1"/>
  <c r="S26" i="3"/>
  <c r="Q26" i="3"/>
  <c r="O26" i="3"/>
  <c r="M26" i="3"/>
  <c r="T26" i="3" s="1"/>
  <c r="S25" i="3"/>
  <c r="Q25" i="3"/>
  <c r="O25" i="3"/>
  <c r="M25" i="3"/>
  <c r="T25" i="3" s="1"/>
  <c r="S24" i="3"/>
  <c r="S37" i="3" s="1"/>
  <c r="Q24" i="3"/>
  <c r="Q37" i="3" s="1"/>
  <c r="O24" i="3"/>
  <c r="M24" i="3"/>
  <c r="M37" i="3" s="1"/>
  <c r="R17" i="3"/>
  <c r="S17" i="3" s="1"/>
  <c r="R16" i="3"/>
  <c r="S16" i="3" s="1"/>
  <c r="R15" i="3"/>
  <c r="S15" i="3" s="1"/>
  <c r="R14" i="3"/>
  <c r="S14" i="3" s="1"/>
  <c r="R13" i="3"/>
  <c r="S13" i="3" s="1"/>
  <c r="R12" i="3"/>
  <c r="S12" i="3" s="1"/>
  <c r="R11" i="3"/>
  <c r="S11" i="3" s="1"/>
  <c r="R10" i="3"/>
  <c r="S10" i="3" s="1"/>
  <c r="R9" i="3"/>
  <c r="S9" i="3" s="1"/>
  <c r="R8" i="3"/>
  <c r="S8" i="3" s="1"/>
  <c r="R7" i="3"/>
  <c r="S7" i="3" s="1"/>
  <c r="R6" i="3"/>
  <c r="S6" i="3" s="1"/>
  <c r="R5" i="3"/>
  <c r="S5" i="3" s="1"/>
  <c r="X27" i="1"/>
  <c r="X28" i="1" s="1"/>
  <c r="Y28" i="1" s="1"/>
  <c r="W19" i="1"/>
  <c r="AK18" i="1"/>
  <c r="AH18" i="1"/>
  <c r="X18" i="1"/>
  <c r="O18" i="1"/>
  <c r="N18" i="1"/>
  <c r="M18" i="1"/>
  <c r="L18" i="1"/>
  <c r="AL17" i="1"/>
  <c r="AE17" i="1"/>
  <c r="V17" i="1"/>
  <c r="U17" i="1"/>
  <c r="T17" i="1"/>
  <c r="R17" i="1"/>
  <c r="AO16" i="1"/>
  <c r="AL16" i="1"/>
  <c r="V16" i="1"/>
  <c r="U16" i="1"/>
  <c r="T16" i="1"/>
  <c r="R16" i="1"/>
  <c r="AD16" i="1"/>
  <c r="AO15" i="1"/>
  <c r="AL15" i="1"/>
  <c r="AI15" i="1"/>
  <c r="V15" i="1"/>
  <c r="AO14" i="1"/>
  <c r="AL14" i="1"/>
  <c r="AI14" i="1"/>
  <c r="V14" i="1"/>
  <c r="AO13" i="1"/>
  <c r="AL13" i="1"/>
  <c r="AI13" i="1"/>
  <c r="V12" i="1"/>
  <c r="AO12" i="1"/>
  <c r="AL12" i="1"/>
  <c r="AI12" i="1"/>
  <c r="V13" i="1"/>
  <c r="AO11" i="1"/>
  <c r="AL11" i="1"/>
  <c r="AI11" i="1"/>
  <c r="V11" i="1"/>
  <c r="AO10" i="1"/>
  <c r="AL10" i="1"/>
  <c r="AI10" i="1"/>
  <c r="V10" i="1"/>
  <c r="T10" i="1"/>
  <c r="AO9" i="1"/>
  <c r="AL9" i="1"/>
  <c r="AI9" i="1"/>
  <c r="V9" i="1"/>
  <c r="AO8" i="1"/>
  <c r="AL8" i="1"/>
  <c r="AI8" i="1"/>
  <c r="AF8" i="1"/>
  <c r="W8" i="1"/>
  <c r="V8" i="1"/>
  <c r="S8" i="1"/>
  <c r="AO7" i="1"/>
  <c r="AL7" i="1"/>
  <c r="AI7" i="1"/>
  <c r="V6" i="1"/>
  <c r="AO5" i="1"/>
  <c r="AL5" i="1"/>
  <c r="AI5" i="1"/>
  <c r="V5" i="1"/>
  <c r="P5" i="1"/>
  <c r="S5" i="1" s="1"/>
  <c r="T24" i="3" l="1"/>
  <c r="T37" i="3" s="1"/>
  <c r="AI18" i="1"/>
  <c r="V18" i="1"/>
  <c r="P18" i="1"/>
  <c r="F31" i="1" s="1"/>
  <c r="F32" i="1" s="1"/>
  <c r="R18" i="1"/>
  <c r="AF14" i="1"/>
  <c r="L19" i="1"/>
  <c r="E24" i="1" s="1"/>
  <c r="W18" i="1"/>
  <c r="AG8" i="1"/>
  <c r="S16" i="1"/>
  <c r="T18" i="1"/>
  <c r="AE16" i="1"/>
  <c r="AF16" i="1" s="1"/>
  <c r="AG10" i="1"/>
  <c r="AF10" i="1"/>
  <c r="AG13" i="1"/>
  <c r="AF13" i="1"/>
  <c r="AG15" i="1"/>
  <c r="AF15" i="1"/>
  <c r="AG11" i="1"/>
  <c r="AF11" i="1"/>
  <c r="AG12" i="1"/>
  <c r="AF12" i="1"/>
  <c r="AD5" i="1"/>
  <c r="L21" i="1"/>
  <c r="Y27" i="1"/>
  <c r="Q11" i="1" l="1"/>
  <c r="Y11" i="1" s="1"/>
  <c r="Q7" i="1"/>
  <c r="Q9" i="1"/>
  <c r="Q6" i="1"/>
  <c r="Y6" i="1" s="1"/>
  <c r="Q15" i="1"/>
  <c r="Y15" i="1" s="1"/>
  <c r="Q10" i="1"/>
  <c r="Y10" i="1" s="1"/>
  <c r="Q14" i="1"/>
  <c r="Y14" i="1" s="1"/>
  <c r="Q12" i="1"/>
  <c r="Y12" i="1" s="1"/>
  <c r="Q13" i="1"/>
  <c r="Y13" i="1" s="1"/>
  <c r="Q8" i="1"/>
  <c r="Y8" i="1" s="1"/>
  <c r="S18" i="1"/>
  <c r="AG14" i="1"/>
  <c r="Q5" i="1"/>
  <c r="Y5" i="1" s="1"/>
  <c r="Q16" i="1"/>
  <c r="Y16" i="1" s="1"/>
  <c r="Q17" i="1"/>
  <c r="Y17" i="1" s="1"/>
  <c r="AG5" i="1"/>
  <c r="AF5" i="1"/>
  <c r="U18" i="1"/>
  <c r="AG9" i="1"/>
  <c r="AF9" i="1"/>
  <c r="AG7" i="1"/>
  <c r="AF7" i="1"/>
  <c r="Q18" i="1" l="1"/>
  <c r="Y9" i="1"/>
  <c r="Y18" i="1" s="1"/>
</calcChain>
</file>

<file path=xl/sharedStrings.xml><?xml version="1.0" encoding="utf-8"?>
<sst xmlns="http://schemas.openxmlformats.org/spreadsheetml/2006/main" count="233" uniqueCount="92">
  <si>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</si>
  <si>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</si>
  <si>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</si>
  <si>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</si>
  <si>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</si>
  <si>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</si>
  <si>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</si>
  <si>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</si>
  <si>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</si>
  <si>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</si>
  <si>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</si>
  <si>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</si>
  <si>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</si>
  <si>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</si>
  <si>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</si>
  <si>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</si>
  <si>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</si>
  <si>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</si>
  <si>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</si>
  <si>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</si>
  <si>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</si>
  <si>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</si>
  <si>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</si>
  <si>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</si>
  <si>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</si>
  <si>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</si>
  <si>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</si>
  <si>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Arif</t>
  </si>
  <si>
    <t>Gilang</t>
  </si>
  <si>
    <t>Hafis</t>
  </si>
  <si>
    <t>Henbediona</t>
  </si>
  <si>
    <t>ok</t>
  </si>
  <si>
    <t>Reza</t>
  </si>
  <si>
    <t>riniroma</t>
  </si>
  <si>
    <t>Ridwan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</si>
  <si>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</si>
  <si>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</si>
  <si>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</si>
  <si>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</si>
  <si>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</si>
  <si>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</si>
  <si>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</si>
  <si>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</si>
  <si>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</si>
  <si>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</si>
  <si>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</si>
  <si>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basik jam</t>
  </si>
  <si>
    <t>basik hari</t>
  </si>
  <si>
    <t>Ali</t>
  </si>
  <si>
    <t>pelatihan</t>
  </si>
  <si>
    <t>Iman</t>
  </si>
  <si>
    <t>meeting</t>
  </si>
  <si>
    <t>Ardian</t>
  </si>
  <si>
    <t>+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</si>
  <si>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</si>
  <si>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</si>
  <si>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</si>
  <si>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</si>
  <si>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</si>
  <si>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</si>
  <si>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</si>
  <si>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</si>
  <si>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</si>
  <si>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</si>
  <si>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</si>
  <si>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</si>
  <si>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</si>
  <si>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</si>
  <si>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</si>
  <si>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</si>
  <si>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</si>
  <si>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</si>
  <si>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</si>
  <si>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Awang</t>
  </si>
  <si>
    <t>Rekap Presensi Café</t>
  </si>
  <si>
    <t>Nama</t>
  </si>
  <si>
    <t>Shift</t>
  </si>
  <si>
    <t xml:space="preserve">Total Jam </t>
  </si>
  <si>
    <t>Keterangan</t>
  </si>
  <si>
    <t>Rekap Lulus PK</t>
  </si>
  <si>
    <t>1x Juni 24</t>
  </si>
  <si>
    <t>1x Juli 24</t>
  </si>
  <si>
    <t>1x Agus 24</t>
  </si>
  <si>
    <t>1x Okto 24</t>
  </si>
  <si>
    <t>Yuli</t>
  </si>
  <si>
    <t>pelatihan meeting</t>
  </si>
  <si>
    <t>gc pelatihan meeting</t>
  </si>
  <si>
    <t>Rekap Presensi BO</t>
  </si>
  <si>
    <t>8, 15 Feb shift 3</t>
  </si>
  <si>
    <t>mepet</t>
  </si>
  <si>
    <t>pelatihan meeting telat</t>
  </si>
  <si>
    <t>pelatihan telat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</si>
</sst>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29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color rgb="FF1F3964"/>
      <name val="Arial"/>
      <charset val="134"/>
    </font>
    <font>
      <sz val="12"/>
      <name val="Calibri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family val="2"/>
    </font>
    <font>
      <sz val="11"/>
      <color rgb="FF333333"/>
      <name val="Verdana"/>
      <family val="2"/>
    </font>
    <font>
      <sz val="11"/>
      <name val="Verdana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1"/>
      <color rgb="FF000000"/>
      <name val="Verdana"/>
      <family val="2"/>
    </font>
    <font>
      <sz val="11"/>
      <color theme="0" tint="-0.34998626667073579"/>
      <name val="Verdana"/>
      <family val="2"/>
    </font>
    <font>
      <sz val="10"/>
      <color rgb="FF00206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  <font>
      <sz val="12"/>
      <color rgb="FF435369"/>
      <name val="Verdana"/>
      <family val="2"/>
    </font>
    <font>
      <sz val="9"/>
      <color rgb="FF000000"/>
      <name val="Verdana"/>
      <family val="2"/>
    </font>
    <font>
      <b/>
      <sz val="12"/>
      <color rgb="FF435369"/>
      <name val="Verdana"/>
      <family val="2"/>
    </font>
    <font>
      <sz val="11"/>
      <color rgb="FF1F3964"/>
      <name val="Verdana"/>
      <family val="2"/>
    </font>
    <font>
      <b/>
      <sz val="11"/>
      <name val="Verdana"/>
      <family val="2"/>
    </font>
    <font>
      <sz val="11"/>
      <color theme="4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7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0" fillId="0" borderId="0" xfId="0" applyNumberFormat="1">
      <alignment vertical="center"/>
    </xf>
    <xf numFmtId="169" fontId="0" fillId="0" borderId="0" xfId="1" applyNumberFormat="1" applyFont="1" applyFill="1" applyAlignment="1">
      <alignment vertical="center"/>
    </xf>
    <xf numFmtId="0" fontId="8" fillId="0" borderId="0" xfId="0" applyFont="1" applyFill="1" applyAlignment="1">
      <alignment horizontal="left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6" fillId="6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/>
    </xf>
    <xf numFmtId="0" fontId="0" fillId="6" borderId="0" xfId="0" applyFont="1" applyFill="1">
      <alignment vertical="center"/>
    </xf>
    <xf numFmtId="0" fontId="8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6" fillId="6" borderId="0" xfId="0" applyFont="1" applyFill="1" applyAlignment="1">
      <alignment horizontal="left"/>
    </xf>
    <xf numFmtId="0" fontId="4" fillId="6" borderId="0" xfId="0" applyFont="1" applyFill="1" applyAlignment="1"/>
    <xf numFmtId="0" fontId="13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/>
    <xf numFmtId="0" fontId="13" fillId="0" borderId="0" xfId="0" applyFont="1">
      <alignment vertical="center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4" fillId="0" borderId="0" xfId="0" applyFont="1" applyFill="1" applyAlignment="1">
      <alignment horizontal="right" vertical="center"/>
    </xf>
    <xf numFmtId="169" fontId="22" fillId="0" borderId="0" xfId="1" applyNumberFormat="1" applyFont="1" applyFill="1" applyAlignment="1">
      <alignment horizontal="left"/>
    </xf>
    <xf numFmtId="43" fontId="22" fillId="0" borderId="0" xfId="0" applyNumberFormat="1" applyFont="1" applyFill="1" applyAlignment="1">
      <alignment horizontal="left"/>
    </xf>
    <xf numFmtId="164" fontId="23" fillId="0" borderId="0" xfId="2" applyFont="1" applyFill="1" applyAlignment="1" applyProtection="1">
      <alignment horizontal="right" vertical="center"/>
    </xf>
    <xf numFmtId="0" fontId="23" fillId="0" borderId="0" xfId="3" applyFont="1" applyAlignment="1" applyProtection="1"/>
    <xf numFmtId="169" fontId="22" fillId="0" borderId="0" xfId="0" applyNumberFormat="1" applyFont="1" applyFill="1" applyAlignment="1">
      <alignment horizontal="left"/>
    </xf>
    <xf numFmtId="166" fontId="19" fillId="0" borderId="0" xfId="0" applyNumberFormat="1" applyFont="1" applyAlignment="1"/>
    <xf numFmtId="169" fontId="24" fillId="0" borderId="0" xfId="1" applyNumberFormat="1" applyFont="1" applyAlignment="1"/>
    <xf numFmtId="164" fontId="14" fillId="0" borderId="3" xfId="2" applyFont="1" applyFill="1" applyBorder="1" applyAlignment="1">
      <alignment horizontal="right" vertical="center"/>
    </xf>
    <xf numFmtId="0" fontId="23" fillId="0" borderId="0" xfId="3" applyFont="1" applyAlignment="1" applyProtection="1">
      <alignment horizontal="center"/>
    </xf>
    <xf numFmtId="164" fontId="25" fillId="0" borderId="0" xfId="2" applyFont="1" applyFill="1" applyAlignment="1" applyProtection="1">
      <alignment horizontal="right" vertical="center"/>
    </xf>
    <xf numFmtId="0" fontId="23" fillId="0" borderId="0" xfId="3" applyFont="1" applyFill="1" applyAlignment="1" applyProtection="1">
      <alignment horizontal="center"/>
    </xf>
    <xf numFmtId="3" fontId="14" fillId="0" borderId="0" xfId="0" applyNumberFormat="1" applyFont="1" applyFill="1" applyBorder="1" applyAlignment="1">
      <alignment horizontal="center" vertical="center"/>
    </xf>
    <xf numFmtId="168" fontId="23" fillId="0" borderId="0" xfId="2" applyNumberFormat="1" applyFont="1" applyFill="1" applyAlignment="1" applyProtection="1">
      <alignment horizontal="right" vertical="center"/>
    </xf>
    <xf numFmtId="0" fontId="23" fillId="0" borderId="0" xfId="3" applyFont="1" applyFill="1" applyAlignment="1" applyProtection="1"/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164" fontId="26" fillId="6" borderId="1" xfId="2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right" vertical="center" wrapText="1"/>
    </xf>
    <xf numFmtId="164" fontId="27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164" fontId="13" fillId="6" borderId="1" xfId="2" applyFont="1" applyFill="1" applyBorder="1" applyAlignment="1">
      <alignment horizontal="right" vertical="center" wrapText="1"/>
    </xf>
    <xf numFmtId="37" fontId="26" fillId="6" borderId="1" xfId="2" applyNumberFormat="1" applyFont="1" applyFill="1" applyBorder="1" applyAlignment="1">
      <alignment horizontal="right" vertical="center" wrapText="1"/>
    </xf>
    <xf numFmtId="0" fontId="26" fillId="6" borderId="5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26" fillId="6" borderId="1" xfId="0" applyFont="1" applyFill="1" applyBorder="1" applyAlignment="1">
      <alignment horizontal="right" vertical="center"/>
    </xf>
    <xf numFmtId="37" fontId="13" fillId="6" borderId="1" xfId="2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left" vertical="center" wrapText="1"/>
    </xf>
    <xf numFmtId="0" fontId="26" fillId="0" borderId="1" xfId="5" applyFont="1" applyFill="1" applyBorder="1" applyAlignment="1">
      <alignment horizontal="left" vertical="center"/>
    </xf>
    <xf numFmtId="0" fontId="26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164" fontId="26" fillId="0" borderId="1" xfId="2" applyFont="1" applyFill="1" applyBorder="1" applyAlignment="1">
      <alignment horizontal="right" vertical="center" wrapText="1"/>
    </xf>
    <xf numFmtId="37" fontId="26" fillId="0" borderId="1" xfId="2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quotePrefix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3" fontId="26" fillId="3" borderId="1" xfId="0" applyNumberFormat="1" applyFont="1" applyFill="1" applyBorder="1" applyAlignment="1">
      <alignment horizontal="right" vertical="center"/>
    </xf>
    <xf numFmtId="164" fontId="27" fillId="3" borderId="1" xfId="2" applyFont="1" applyFill="1" applyBorder="1" applyAlignment="1">
      <alignment horizontal="right" vertical="center" wrapText="1"/>
    </xf>
    <xf numFmtId="164" fontId="26" fillId="3" borderId="1" xfId="2" applyFont="1" applyFill="1" applyBorder="1" applyAlignment="1">
      <alignment horizontal="right" vertical="center"/>
    </xf>
    <xf numFmtId="37" fontId="26" fillId="3" borderId="1" xfId="2" applyNumberFormat="1" applyFont="1" applyFill="1" applyBorder="1" applyAlignment="1">
      <alignment horizontal="right" vertical="center"/>
    </xf>
    <xf numFmtId="167" fontId="5" fillId="0" borderId="2" xfId="0" applyNumberFormat="1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2" fontId="18" fillId="0" borderId="3" xfId="0" applyNumberFormat="1" applyFont="1" applyBorder="1" applyAlignment="1">
      <alignment horizontal="center" vertical="center"/>
    </xf>
    <xf numFmtId="164" fontId="14" fillId="4" borderId="0" xfId="2" applyFont="1" applyFill="1" applyAlignment="1">
      <alignment horizontal="right" vertical="center"/>
    </xf>
    <xf numFmtId="0" fontId="21" fillId="8" borderId="0" xfId="3" applyFont="1" applyFill="1" applyAlignment="1" applyProtection="1">
      <alignment horizontal="right" vertical="center"/>
    </xf>
    <xf numFmtId="0" fontId="21" fillId="7" borderId="0" xfId="3" applyFont="1" applyFill="1" applyAlignment="1" applyProtection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10" borderId="0" xfId="0" applyFont="1" applyFill="1" applyAlignment="1"/>
    <xf numFmtId="0" fontId="26" fillId="10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164" fontId="26" fillId="10" borderId="1" xfId="2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right" vertical="center"/>
    </xf>
    <xf numFmtId="164" fontId="27" fillId="10" borderId="1" xfId="2" applyFont="1" applyFill="1" applyBorder="1" applyAlignment="1">
      <alignment horizontal="right" vertical="center" wrapText="1"/>
    </xf>
    <xf numFmtId="164" fontId="26" fillId="10" borderId="1" xfId="2" applyFont="1" applyFill="1" applyBorder="1" applyAlignment="1">
      <alignment horizontal="right" vertical="center" wrapText="1"/>
    </xf>
    <xf numFmtId="164" fontId="13" fillId="10" borderId="1" xfId="2" applyFont="1" applyFill="1" applyBorder="1" applyAlignment="1">
      <alignment horizontal="right" vertical="center" wrapText="1"/>
    </xf>
    <xf numFmtId="37" fontId="26" fillId="10" borderId="1" xfId="2" applyNumberFormat="1" applyFont="1" applyFill="1" applyBorder="1" applyAlignment="1">
      <alignment horizontal="right" vertical="center" wrapText="1"/>
    </xf>
    <xf numFmtId="0" fontId="0" fillId="10" borderId="0" xfId="0" applyFill="1">
      <alignment vertical="center"/>
    </xf>
    <xf numFmtId="0" fontId="6" fillId="10" borderId="1" xfId="0" applyFont="1" applyFill="1" applyBorder="1" applyAlignment="1">
      <alignment horizontal="right" vertical="center"/>
    </xf>
    <xf numFmtId="169" fontId="0" fillId="10" borderId="0" xfId="1" applyNumberFormat="1" applyFont="1" applyFill="1" applyAlignment="1">
      <alignment vertical="center"/>
    </xf>
    <xf numFmtId="0" fontId="6" fillId="10" borderId="0" xfId="0" applyFont="1" applyFill="1" applyAlignment="1">
      <alignment horizontal="left"/>
    </xf>
    <xf numFmtId="0" fontId="26" fillId="10" borderId="5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right" vertical="center"/>
    </xf>
    <xf numFmtId="164" fontId="27" fillId="0" borderId="1" xfId="2" applyFont="1" applyFill="1" applyBorder="1" applyAlignment="1">
      <alignment horizontal="right" vertical="center" wrapText="1"/>
    </xf>
    <xf numFmtId="0" fontId="26" fillId="6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top" wrapText="1"/>
    </xf>
  </cellXfs>
  <cellStyles count="6">
    <cellStyle name="Comma" xfId="1" builtinId="3"/>
    <cellStyle name="Comma [0]" xfId="2" builtinId="6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3"/>
  <sheetViews>
    <sheetView tabSelected="1" zoomScale="60" zoomScaleNormal="60" zoomScaleSheetLayoutView="70" workbookViewId="0">
      <selection activeCell="U10" sqref="U10"/>
    </sheetView>
  </sheetViews>
  <sheetFormatPr defaultColWidth="10" defaultRowHeight="26.1" customHeight="1"/>
  <cols>
    <col min="2" max="2" width="4.7109375" customWidth="1"/>
    <col min="3" max="3" width="15.140625" customWidth="1"/>
    <col min="4" max="4" width="17.28515625" customWidth="1"/>
    <col min="5" max="5" width="14.285156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7.4257812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2.710937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26.1" customHeight="1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42" ht="26.1" customHeight="1">
      <c r="A2" s="35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42" ht="26.1" customHeight="1">
      <c r="A3" s="35"/>
      <c r="B3" s="128">
        <v>45689</v>
      </c>
      <c r="C3" s="128"/>
      <c r="D3" s="128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42" ht="26.1" customHeight="1">
      <c r="A4" s="35"/>
      <c r="B4" s="96" t="s">
        <v>1</v>
      </c>
      <c r="C4" s="96" t="s">
        <v>2</v>
      </c>
      <c r="D4" s="97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6" t="s">
        <v>8</v>
      </c>
      <c r="J4" s="96" t="s">
        <v>9</v>
      </c>
      <c r="K4" s="96" t="s">
        <v>10</v>
      </c>
      <c r="L4" s="96" t="s">
        <v>11</v>
      </c>
      <c r="M4" s="96" t="s">
        <v>12</v>
      </c>
      <c r="N4" s="96" t="s">
        <v>13</v>
      </c>
      <c r="O4" s="96" t="s">
        <v>14</v>
      </c>
      <c r="P4" s="96" t="s">
        <v>15</v>
      </c>
      <c r="Q4" s="96" t="s">
        <v>16</v>
      </c>
      <c r="R4" s="96" t="s">
        <v>4</v>
      </c>
      <c r="S4" s="96" t="s">
        <v>5</v>
      </c>
      <c r="T4" s="96" t="s">
        <v>6</v>
      </c>
      <c r="U4" s="96" t="s">
        <v>17</v>
      </c>
      <c r="V4" s="96" t="s">
        <v>18</v>
      </c>
      <c r="W4" s="96" t="s">
        <v>19</v>
      </c>
      <c r="X4" s="96" t="s">
        <v>20</v>
      </c>
      <c r="Y4" s="96" t="s">
        <v>21</v>
      </c>
      <c r="Z4" s="51"/>
      <c r="AA4" s="51"/>
      <c r="AB4" s="51"/>
      <c r="AC4" s="51"/>
      <c r="AD4" s="41" t="s">
        <v>21</v>
      </c>
      <c r="AE4" s="42" t="s">
        <v>22</v>
      </c>
      <c r="AF4" s="42" t="s">
        <v>23</v>
      </c>
      <c r="AG4" s="37" t="s">
        <v>21</v>
      </c>
      <c r="AH4" s="129" t="s">
        <v>22</v>
      </c>
      <c r="AI4" s="130"/>
      <c r="AK4" s="1" t="s">
        <v>24</v>
      </c>
    </row>
    <row r="5" spans="1:42" s="32" customFormat="1" ht="26.1" customHeight="1">
      <c r="A5" s="38"/>
      <c r="B5" s="98">
        <v>1</v>
      </c>
      <c r="C5" s="157" t="s">
        <v>25</v>
      </c>
      <c r="D5" s="99" t="s">
        <v>26</v>
      </c>
      <c r="E5" s="98" t="s">
        <v>85</v>
      </c>
      <c r="F5" s="98"/>
      <c r="G5" s="98"/>
      <c r="H5" s="98"/>
      <c r="I5" s="100" t="s">
        <v>37</v>
      </c>
      <c r="J5" s="98"/>
      <c r="K5" s="101"/>
      <c r="L5" s="102">
        <v>38</v>
      </c>
      <c r="M5" s="102">
        <v>3</v>
      </c>
      <c r="N5" s="102">
        <v>87</v>
      </c>
      <c r="O5" s="102"/>
      <c r="P5" s="103">
        <f t="shared" ref="P5:P18" si="0">SUM(L5:O5)</f>
        <v>128</v>
      </c>
      <c r="Q5" s="104">
        <f>((data!$A$3/8)*L5)+((data!$B$3/8)*(M5+N5+O5))+(P5*$E$24)</f>
        <v>548750</v>
      </c>
      <c r="R5" s="104">
        <f t="shared" ref="R5:R17" si="1">IF(D5="Percobaan",0,IF(AND(E5="",G5&gt;0,H5="ok"),100000,IF(AND(E5="",G5&gt;0,H5=""),50000,IF(AND(E5=""),100000,0))))</f>
        <v>0</v>
      </c>
      <c r="S5" s="104">
        <f t="shared" ref="S5:S16" si="2">((P5/8)*1000)</f>
        <v>16000</v>
      </c>
      <c r="T5" s="105">
        <f t="shared" ref="T5:T17" si="3">IF(AND(G5&gt;0,H5=""),50000,IF(AND(G5&gt;0,H5="ok"),G5*50000,0))</f>
        <v>0</v>
      </c>
      <c r="U5" s="104">
        <f t="shared" ref="U5:U17" si="4">IF(OR(D5="Percobaan",D5=""),0,IF(I5="+",P5/8*3000,IF(I5="-",0,P5/8*2000)))</f>
        <v>0</v>
      </c>
      <c r="V5" s="106">
        <f>J5*-12500</f>
        <v>0</v>
      </c>
      <c r="W5" s="104">
        <f t="shared" ref="W5:W17" si="5">IF(K5="ok",50000+AA5,0+AA5)</f>
        <v>0</v>
      </c>
      <c r="X5" s="104"/>
      <c r="Y5" s="104">
        <f>CEILING(SUM(Q5:X5),500)</f>
        <v>565000</v>
      </c>
      <c r="Z5" s="51"/>
      <c r="AA5" s="51"/>
      <c r="AB5" s="51"/>
      <c r="AC5" s="51"/>
      <c r="AD5" s="33">
        <f t="shared" ref="AD5:AD16" si="6">P5/8</f>
        <v>16</v>
      </c>
      <c r="AE5" s="51"/>
      <c r="AF5" s="51">
        <f t="shared" ref="AF5:AF12" si="7">AD5-AE5</f>
        <v>16</v>
      </c>
      <c r="AG5" s="51">
        <f>AD5+AI5</f>
        <v>27</v>
      </c>
      <c r="AH5" s="52">
        <v>88</v>
      </c>
      <c r="AI5" s="51">
        <f>AH5/8</f>
        <v>11</v>
      </c>
      <c r="AK5" s="44">
        <v>1037500</v>
      </c>
      <c r="AL5" s="32" t="str">
        <f>C5</f>
        <v>Alfred</v>
      </c>
      <c r="AN5" s="40"/>
      <c r="AO5" s="32">
        <f>AN5*AM5</f>
        <v>0</v>
      </c>
    </row>
    <row r="6" spans="1:42" s="32" customFormat="1" ht="26.1" customHeight="1">
      <c r="A6" s="38"/>
      <c r="B6" s="98">
        <v>3</v>
      </c>
      <c r="C6" s="158" t="s">
        <v>27</v>
      </c>
      <c r="D6" s="99" t="s">
        <v>3</v>
      </c>
      <c r="E6" s="98" t="s">
        <v>91</v>
      </c>
      <c r="F6" s="99" t="s">
        <v>89</v>
      </c>
      <c r="G6" s="99">
        <v>1</v>
      </c>
      <c r="H6" s="99"/>
      <c r="I6" s="100" t="s">
        <v>37</v>
      </c>
      <c r="J6" s="98"/>
      <c r="K6" s="107"/>
      <c r="L6" s="108">
        <v>18</v>
      </c>
      <c r="M6" s="109">
        <v>48</v>
      </c>
      <c r="N6" s="102">
        <v>99</v>
      </c>
      <c r="O6" s="110"/>
      <c r="P6" s="103">
        <f t="shared" si="0"/>
        <v>165</v>
      </c>
      <c r="Q6" s="104">
        <f>((data!$A$3/8)*L6)+((data!$B$3/8)*(M6+N6+O6))+(P6*$E$24)</f>
        <v>703500</v>
      </c>
      <c r="R6" s="104">
        <f t="shared" si="1"/>
        <v>0</v>
      </c>
      <c r="S6" s="104">
        <f t="shared" si="2"/>
        <v>20625</v>
      </c>
      <c r="T6" s="105">
        <f t="shared" si="3"/>
        <v>50000</v>
      </c>
      <c r="U6" s="104">
        <f t="shared" si="4"/>
        <v>0</v>
      </c>
      <c r="V6" s="106">
        <f>J6*-12500</f>
        <v>0</v>
      </c>
      <c r="W6" s="104">
        <f t="shared" si="5"/>
        <v>0</v>
      </c>
      <c r="X6" s="104"/>
      <c r="Y6" s="104">
        <f>CEILING(SUM(Q6:X6),500)</f>
        <v>774500</v>
      </c>
      <c r="Z6" s="51"/>
      <c r="AA6" s="51"/>
      <c r="AB6" s="51"/>
      <c r="AC6" s="51"/>
      <c r="AD6" s="33">
        <f t="shared" si="6"/>
        <v>20.625</v>
      </c>
      <c r="AE6" s="51"/>
      <c r="AF6" s="51"/>
      <c r="AG6" s="51"/>
      <c r="AH6" s="52"/>
      <c r="AI6" s="51"/>
      <c r="AK6" s="44"/>
      <c r="AL6" s="32" t="str">
        <f>C6</f>
        <v>Arif</v>
      </c>
      <c r="AN6" s="40"/>
    </row>
    <row r="7" spans="1:42" s="32" customFormat="1" ht="26.1" customHeight="1">
      <c r="A7" s="38"/>
      <c r="B7" s="98">
        <v>2</v>
      </c>
      <c r="C7" s="157" t="s">
        <v>73</v>
      </c>
      <c r="D7" s="99" t="s">
        <v>26</v>
      </c>
      <c r="E7" s="98" t="s">
        <v>86</v>
      </c>
      <c r="F7" s="98"/>
      <c r="G7" s="98"/>
      <c r="H7" s="98"/>
      <c r="I7" s="100" t="s">
        <v>53</v>
      </c>
      <c r="J7" s="98"/>
      <c r="K7" s="101"/>
      <c r="L7" s="109">
        <v>158</v>
      </c>
      <c r="M7" s="102">
        <v>2</v>
      </c>
      <c r="N7" s="102">
        <v>43</v>
      </c>
      <c r="O7" s="102"/>
      <c r="P7" s="103">
        <f t="shared" si="0"/>
        <v>203</v>
      </c>
      <c r="Q7" s="104">
        <f>((data!$A$3/8)*L7)+((data!$B$3/8)*(M7+N7+O7))+(P7*$E$24)</f>
        <v>882500</v>
      </c>
      <c r="R7" s="104">
        <f t="shared" si="1"/>
        <v>0</v>
      </c>
      <c r="S7" s="104">
        <f t="shared" si="2"/>
        <v>25375</v>
      </c>
      <c r="T7" s="105">
        <f t="shared" si="3"/>
        <v>0</v>
      </c>
      <c r="U7" s="104">
        <f t="shared" si="4"/>
        <v>0</v>
      </c>
      <c r="V7" s="106"/>
      <c r="W7" s="104">
        <f t="shared" si="5"/>
        <v>0</v>
      </c>
      <c r="X7" s="104"/>
      <c r="Y7" s="104">
        <f>CEILING(SUM(Q7:X7),500)</f>
        <v>908000</v>
      </c>
      <c r="Z7" s="51"/>
      <c r="AA7" s="51"/>
      <c r="AB7" s="51"/>
      <c r="AC7" s="51"/>
      <c r="AD7" s="33">
        <f t="shared" si="6"/>
        <v>25.375</v>
      </c>
      <c r="AE7" s="51"/>
      <c r="AF7" s="51">
        <f t="shared" si="7"/>
        <v>25.375</v>
      </c>
      <c r="AG7" s="51">
        <f t="shared" ref="AG7:AG15" si="8">AD7+AI7</f>
        <v>25.375</v>
      </c>
      <c r="AH7" s="53"/>
      <c r="AI7" s="51">
        <f t="shared" ref="AI7:AI15" si="9">AH7/8</f>
        <v>0</v>
      </c>
      <c r="AK7" s="44">
        <v>834000</v>
      </c>
      <c r="AL7" s="32" t="str">
        <f t="shared" ref="AL7:AL17" si="10">C7</f>
        <v>Awang</v>
      </c>
      <c r="AN7" s="40"/>
      <c r="AO7" s="32">
        <f t="shared" ref="AO7:AO16" si="11">AN7*AM7</f>
        <v>0</v>
      </c>
    </row>
    <row r="8" spans="1:42" s="150" customFormat="1" ht="26.1" customHeight="1">
      <c r="A8" s="140"/>
      <c r="B8" s="141">
        <v>4</v>
      </c>
      <c r="C8" s="159" t="s">
        <v>28</v>
      </c>
      <c r="D8" s="142" t="s">
        <v>3</v>
      </c>
      <c r="E8" s="141"/>
      <c r="F8" s="142"/>
      <c r="G8" s="142"/>
      <c r="H8" s="142"/>
      <c r="I8" s="143" t="s">
        <v>53</v>
      </c>
      <c r="J8" s="141"/>
      <c r="K8" s="142" t="s">
        <v>31</v>
      </c>
      <c r="L8" s="144">
        <v>6</v>
      </c>
      <c r="M8" s="144">
        <v>32</v>
      </c>
      <c r="N8" s="145">
        <v>118</v>
      </c>
      <c r="O8" s="144">
        <v>56</v>
      </c>
      <c r="P8" s="146">
        <f t="shared" si="0"/>
        <v>212</v>
      </c>
      <c r="Q8" s="147">
        <f>((data!$A$3/8)*L8)+((data!$B$3/8)*(M8+N8+O8))+(P8*$E$24)</f>
        <v>901750</v>
      </c>
      <c r="R8" s="147">
        <f t="shared" si="1"/>
        <v>100000</v>
      </c>
      <c r="S8" s="147">
        <f t="shared" si="2"/>
        <v>26500</v>
      </c>
      <c r="T8" s="148">
        <f t="shared" si="3"/>
        <v>0</v>
      </c>
      <c r="U8" s="147">
        <f t="shared" si="4"/>
        <v>79500</v>
      </c>
      <c r="V8" s="149">
        <f t="shared" ref="V8:V17" si="12">J8*-12500</f>
        <v>0</v>
      </c>
      <c r="W8" s="147">
        <f>IF(K8="ok",50000+AA8,0+AA8)</f>
        <v>50000</v>
      </c>
      <c r="X8" s="147"/>
      <c r="Y8" s="147">
        <f>CEILING(SUM(Q8:X8),500)</f>
        <v>1158000</v>
      </c>
      <c r="AD8" s="150">
        <f t="shared" si="6"/>
        <v>26.5</v>
      </c>
      <c r="AF8" s="150">
        <f t="shared" si="7"/>
        <v>26.5</v>
      </c>
      <c r="AG8" s="150">
        <f t="shared" si="8"/>
        <v>29.5</v>
      </c>
      <c r="AH8" s="151">
        <v>24</v>
      </c>
      <c r="AI8" s="150">
        <f t="shared" si="9"/>
        <v>3</v>
      </c>
      <c r="AK8" s="152">
        <v>610500</v>
      </c>
      <c r="AL8" s="150" t="str">
        <f t="shared" si="10"/>
        <v>Gilang</v>
      </c>
      <c r="AN8" s="153"/>
      <c r="AO8" s="150">
        <f t="shared" si="11"/>
        <v>0</v>
      </c>
    </row>
    <row r="9" spans="1:42" s="32" customFormat="1" ht="26.1" customHeight="1">
      <c r="A9" s="38"/>
      <c r="B9" s="98">
        <v>5</v>
      </c>
      <c r="C9" s="157" t="s">
        <v>29</v>
      </c>
      <c r="D9" s="99" t="s">
        <v>26</v>
      </c>
      <c r="E9" s="98" t="s">
        <v>85</v>
      </c>
      <c r="F9" s="99"/>
      <c r="G9" s="99"/>
      <c r="H9" s="99"/>
      <c r="I9" s="100" t="s">
        <v>37</v>
      </c>
      <c r="J9" s="98"/>
      <c r="K9" s="99" t="s">
        <v>31</v>
      </c>
      <c r="L9" s="110">
        <v>8</v>
      </c>
      <c r="M9" s="110">
        <v>8</v>
      </c>
      <c r="N9" s="109">
        <v>158</v>
      </c>
      <c r="O9" s="110"/>
      <c r="P9" s="103">
        <f t="shared" si="0"/>
        <v>174</v>
      </c>
      <c r="Q9" s="104">
        <f>((data!$A$3/8)*L9)+((data!$B$3/8)*(M9+N9+O9))+(P9*$E$24)</f>
        <v>740500</v>
      </c>
      <c r="R9" s="104">
        <f t="shared" si="1"/>
        <v>0</v>
      </c>
      <c r="S9" s="104">
        <f t="shared" si="2"/>
        <v>21750</v>
      </c>
      <c r="T9" s="105">
        <f t="shared" si="3"/>
        <v>0</v>
      </c>
      <c r="U9" s="104">
        <f t="shared" si="4"/>
        <v>0</v>
      </c>
      <c r="V9" s="106">
        <f t="shared" si="12"/>
        <v>0</v>
      </c>
      <c r="W9" s="104">
        <f t="shared" si="5"/>
        <v>50000</v>
      </c>
      <c r="X9" s="104"/>
      <c r="Y9" s="104">
        <f t="shared" ref="Y8:Y17" si="13">CEILING(SUM(Q9:X9),500)</f>
        <v>812500</v>
      </c>
      <c r="Z9" s="51"/>
      <c r="AA9" s="51"/>
      <c r="AB9" s="51"/>
      <c r="AC9" s="51"/>
      <c r="AD9" s="33">
        <f t="shared" si="6"/>
        <v>21.75</v>
      </c>
      <c r="AE9" s="51"/>
      <c r="AF9" s="51">
        <f t="shared" si="7"/>
        <v>21.75</v>
      </c>
      <c r="AG9" s="51">
        <f t="shared" si="8"/>
        <v>21.75</v>
      </c>
      <c r="AH9" s="53"/>
      <c r="AI9" s="51">
        <f t="shared" si="9"/>
        <v>0</v>
      </c>
      <c r="AK9" s="44">
        <v>637500</v>
      </c>
      <c r="AL9" s="32" t="str">
        <f t="shared" si="10"/>
        <v>Hafis</v>
      </c>
      <c r="AN9" s="40"/>
      <c r="AO9" s="32">
        <f t="shared" si="11"/>
        <v>0</v>
      </c>
    </row>
    <row r="10" spans="1:42" s="33" customFormat="1" ht="26.1" customHeight="1">
      <c r="A10" s="58"/>
      <c r="B10" s="98">
        <v>6</v>
      </c>
      <c r="C10" s="157" t="s">
        <v>30</v>
      </c>
      <c r="D10" s="99" t="s">
        <v>3</v>
      </c>
      <c r="E10" s="98"/>
      <c r="F10" s="99" t="s">
        <v>89</v>
      </c>
      <c r="G10" s="99">
        <v>4</v>
      </c>
      <c r="H10" s="99" t="s">
        <v>31</v>
      </c>
      <c r="I10" s="100"/>
      <c r="J10" s="98"/>
      <c r="K10" s="99" t="s">
        <v>31</v>
      </c>
      <c r="L10" s="110"/>
      <c r="M10" s="109">
        <v>188</v>
      </c>
      <c r="N10" s="110">
        <v>8</v>
      </c>
      <c r="O10" s="110"/>
      <c r="P10" s="103">
        <f t="shared" si="0"/>
        <v>196</v>
      </c>
      <c r="Q10" s="104">
        <f>((data!$A$3/8)*L10)+((data!$B$3/8)*(M10+N10+O10))+(P10*$E$24)</f>
        <v>833000</v>
      </c>
      <c r="R10" s="104">
        <f t="shared" si="1"/>
        <v>100000</v>
      </c>
      <c r="S10" s="104"/>
      <c r="T10" s="105">
        <f t="shared" si="3"/>
        <v>200000</v>
      </c>
      <c r="U10" s="104">
        <f t="shared" si="4"/>
        <v>49000</v>
      </c>
      <c r="V10" s="106">
        <f t="shared" si="12"/>
        <v>0</v>
      </c>
      <c r="W10" s="104">
        <f t="shared" si="5"/>
        <v>50000</v>
      </c>
      <c r="X10" s="104"/>
      <c r="Y10" s="104">
        <f t="shared" si="13"/>
        <v>1232000</v>
      </c>
      <c r="Z10" s="51"/>
      <c r="AA10" s="51"/>
      <c r="AB10" s="51"/>
      <c r="AC10" s="51"/>
      <c r="AD10" s="33">
        <f t="shared" si="6"/>
        <v>24.5</v>
      </c>
      <c r="AE10" s="51"/>
      <c r="AF10" s="51">
        <f t="shared" si="7"/>
        <v>24.5</v>
      </c>
      <c r="AG10" s="51">
        <f t="shared" si="8"/>
        <v>26.5</v>
      </c>
      <c r="AH10" s="53">
        <v>16</v>
      </c>
      <c r="AI10" s="51">
        <f t="shared" si="9"/>
        <v>2</v>
      </c>
      <c r="AJ10" s="51"/>
      <c r="AK10" s="56">
        <v>398500</v>
      </c>
      <c r="AL10" s="51" t="str">
        <f t="shared" si="10"/>
        <v>Henbediona</v>
      </c>
      <c r="AM10" s="51"/>
      <c r="AN10" s="57"/>
      <c r="AO10" s="51">
        <f t="shared" si="11"/>
        <v>0</v>
      </c>
      <c r="AP10" s="51"/>
    </row>
    <row r="11" spans="1:42" s="150" customFormat="1" ht="26.1" customHeight="1">
      <c r="A11" s="140"/>
      <c r="B11" s="141">
        <v>7</v>
      </c>
      <c r="C11" s="159" t="s">
        <v>32</v>
      </c>
      <c r="D11" s="142" t="s">
        <v>3</v>
      </c>
      <c r="E11" s="141"/>
      <c r="F11" s="142"/>
      <c r="G11" s="142">
        <v>3</v>
      </c>
      <c r="H11" s="142" t="s">
        <v>31</v>
      </c>
      <c r="I11" s="143" t="s">
        <v>37</v>
      </c>
      <c r="J11" s="141"/>
      <c r="K11" s="154"/>
      <c r="L11" s="145">
        <v>28</v>
      </c>
      <c r="M11" s="144">
        <v>16</v>
      </c>
      <c r="N11" s="145">
        <v>113</v>
      </c>
      <c r="O11" s="144">
        <v>16</v>
      </c>
      <c r="P11" s="146">
        <f t="shared" si="0"/>
        <v>173</v>
      </c>
      <c r="Q11" s="147">
        <f>((data!$A$3/8)*L11)+((data!$B$3/8)*(M11+N11+O11))+(P11*$E$24)</f>
        <v>738750</v>
      </c>
      <c r="R11" s="147">
        <f t="shared" si="1"/>
        <v>100000</v>
      </c>
      <c r="S11" s="147">
        <f t="shared" si="2"/>
        <v>21625</v>
      </c>
      <c r="T11" s="148">
        <f t="shared" si="3"/>
        <v>150000</v>
      </c>
      <c r="U11" s="147">
        <f t="shared" si="4"/>
        <v>0</v>
      </c>
      <c r="V11" s="149">
        <f t="shared" si="12"/>
        <v>0</v>
      </c>
      <c r="W11" s="147">
        <f t="shared" si="5"/>
        <v>0</v>
      </c>
      <c r="X11" s="147"/>
      <c r="Y11" s="147">
        <f t="shared" si="13"/>
        <v>1010500</v>
      </c>
      <c r="AD11" s="150">
        <f t="shared" si="6"/>
        <v>21.625</v>
      </c>
      <c r="AF11" s="150">
        <f t="shared" si="7"/>
        <v>21.625</v>
      </c>
      <c r="AG11" s="150">
        <f t="shared" si="8"/>
        <v>21.625</v>
      </c>
      <c r="AH11" s="151"/>
      <c r="AI11" s="150">
        <f t="shared" si="9"/>
        <v>0</v>
      </c>
      <c r="AK11" s="152">
        <v>1281500</v>
      </c>
      <c r="AL11" s="150" t="str">
        <f t="shared" si="10"/>
        <v>Reza</v>
      </c>
      <c r="AN11" s="153"/>
      <c r="AO11" s="150">
        <f t="shared" si="11"/>
        <v>0</v>
      </c>
    </row>
    <row r="12" spans="1:42" s="32" customFormat="1" ht="26.1" customHeight="1">
      <c r="A12" s="38"/>
      <c r="B12" s="98">
        <v>9</v>
      </c>
      <c r="C12" s="158" t="s">
        <v>34</v>
      </c>
      <c r="D12" s="99" t="s">
        <v>26</v>
      </c>
      <c r="E12" s="98" t="s">
        <v>90</v>
      </c>
      <c r="F12" s="99"/>
      <c r="G12" s="99"/>
      <c r="H12" s="99"/>
      <c r="I12" s="100"/>
      <c r="J12" s="98"/>
      <c r="K12" s="107"/>
      <c r="L12" s="109">
        <v>188</v>
      </c>
      <c r="M12" s="110"/>
      <c r="N12" s="110"/>
      <c r="O12" s="110"/>
      <c r="P12" s="103">
        <f t="shared" si="0"/>
        <v>188</v>
      </c>
      <c r="Q12" s="104">
        <f>((data!$A$3/8)*L12)+((data!$B$3/8)*(M12+N12+O12))+(P12*$E$24)</f>
        <v>822500</v>
      </c>
      <c r="R12" s="104">
        <f t="shared" si="1"/>
        <v>0</v>
      </c>
      <c r="S12" s="104">
        <f t="shared" si="2"/>
        <v>23500</v>
      </c>
      <c r="T12" s="105">
        <f t="shared" si="3"/>
        <v>0</v>
      </c>
      <c r="U12" s="104">
        <f t="shared" si="4"/>
        <v>0</v>
      </c>
      <c r="V12" s="111">
        <f t="shared" si="12"/>
        <v>0</v>
      </c>
      <c r="W12" s="104">
        <f t="shared" si="5"/>
        <v>0</v>
      </c>
      <c r="X12" s="105"/>
      <c r="Y12" s="105">
        <f t="shared" si="13"/>
        <v>846000</v>
      </c>
      <c r="AD12" s="33">
        <f t="shared" si="6"/>
        <v>23.5</v>
      </c>
      <c r="AE12" s="51"/>
      <c r="AF12" s="51">
        <f t="shared" si="7"/>
        <v>23.5</v>
      </c>
      <c r="AG12" s="51">
        <f t="shared" si="8"/>
        <v>28.5</v>
      </c>
      <c r="AH12" s="53">
        <v>40</v>
      </c>
      <c r="AI12" s="51">
        <f t="shared" si="9"/>
        <v>5</v>
      </c>
      <c r="AK12" s="44">
        <v>1120500</v>
      </c>
      <c r="AL12" s="32" t="str">
        <f t="shared" si="10"/>
        <v>Ridwan</v>
      </c>
      <c r="AN12" s="40"/>
      <c r="AO12" s="32">
        <f t="shared" si="11"/>
        <v>0</v>
      </c>
    </row>
    <row r="13" spans="1:42" s="34" customFormat="1" ht="26.1" customHeight="1">
      <c r="A13" s="39"/>
      <c r="B13" s="98">
        <v>8</v>
      </c>
      <c r="C13" s="158" t="s">
        <v>33</v>
      </c>
      <c r="D13" s="99" t="s">
        <v>3</v>
      </c>
      <c r="E13" s="98"/>
      <c r="F13" s="99"/>
      <c r="G13" s="99">
        <v>2</v>
      </c>
      <c r="H13" s="99" t="s">
        <v>31</v>
      </c>
      <c r="I13" s="100" t="s">
        <v>53</v>
      </c>
      <c r="J13" s="98"/>
      <c r="K13" s="99" t="s">
        <v>31</v>
      </c>
      <c r="L13" s="109">
        <v>227</v>
      </c>
      <c r="M13" s="109">
        <v>4</v>
      </c>
      <c r="N13" s="110">
        <v>8</v>
      </c>
      <c r="O13" s="110"/>
      <c r="P13" s="103">
        <f t="shared" si="0"/>
        <v>239</v>
      </c>
      <c r="Q13" s="104">
        <f>((data!$A$3/8)*L13)+((data!$B$3/8)*(M13+N13+O13))+(P13*$E$24)</f>
        <v>1044125</v>
      </c>
      <c r="R13" s="104">
        <f t="shared" si="1"/>
        <v>100000</v>
      </c>
      <c r="S13" s="104">
        <f t="shared" si="2"/>
        <v>29875</v>
      </c>
      <c r="T13" s="105">
        <f t="shared" si="3"/>
        <v>100000</v>
      </c>
      <c r="U13" s="104">
        <f t="shared" si="4"/>
        <v>89625</v>
      </c>
      <c r="V13" s="106">
        <f t="shared" si="12"/>
        <v>0</v>
      </c>
      <c r="W13" s="104">
        <f t="shared" si="5"/>
        <v>50000</v>
      </c>
      <c r="X13" s="104"/>
      <c r="Y13" s="104">
        <f t="shared" si="13"/>
        <v>1414000</v>
      </c>
      <c r="AD13" s="33">
        <f t="shared" si="6"/>
        <v>29.875</v>
      </c>
      <c r="AE13" s="51"/>
      <c r="AF13" s="54">
        <f t="shared" ref="AF13:AF15" si="14">AD13-AE13</f>
        <v>29.875</v>
      </c>
      <c r="AG13" s="51">
        <f t="shared" si="8"/>
        <v>29.875</v>
      </c>
      <c r="AH13" s="55"/>
      <c r="AI13" s="51">
        <f t="shared" si="9"/>
        <v>0</v>
      </c>
      <c r="AK13" s="44">
        <v>1195000</v>
      </c>
      <c r="AL13" s="34" t="str">
        <f t="shared" si="10"/>
        <v>riniroma</v>
      </c>
      <c r="AN13" s="45"/>
      <c r="AO13" s="34">
        <f t="shared" si="11"/>
        <v>0</v>
      </c>
    </row>
    <row r="14" spans="1:42" s="32" customFormat="1" ht="26.1" customHeight="1">
      <c r="A14" s="38"/>
      <c r="B14" s="98">
        <v>10</v>
      </c>
      <c r="C14" s="158" t="s">
        <v>35</v>
      </c>
      <c r="D14" s="99" t="s">
        <v>3</v>
      </c>
      <c r="E14" s="98"/>
      <c r="F14" s="99"/>
      <c r="G14" s="99">
        <v>1</v>
      </c>
      <c r="H14" s="99"/>
      <c r="I14" s="100" t="s">
        <v>53</v>
      </c>
      <c r="J14" s="98"/>
      <c r="K14" s="107"/>
      <c r="L14" s="110">
        <v>1</v>
      </c>
      <c r="M14" s="110">
        <v>200</v>
      </c>
      <c r="N14" s="110">
        <v>16</v>
      </c>
      <c r="O14" s="110"/>
      <c r="P14" s="103">
        <f t="shared" si="0"/>
        <v>217</v>
      </c>
      <c r="Q14" s="104">
        <f>((data!$A$3/8)*L14)+((data!$B$3/8)*(M14+N14+O14))+(P14*$E$24)</f>
        <v>922375</v>
      </c>
      <c r="R14" s="104">
        <f t="shared" si="1"/>
        <v>50000</v>
      </c>
      <c r="S14" s="104">
        <f t="shared" si="2"/>
        <v>27125</v>
      </c>
      <c r="T14" s="105">
        <f t="shared" si="3"/>
        <v>50000</v>
      </c>
      <c r="U14" s="104">
        <f t="shared" si="4"/>
        <v>81375</v>
      </c>
      <c r="V14" s="106">
        <f t="shared" si="12"/>
        <v>0</v>
      </c>
      <c r="W14" s="104">
        <f t="shared" si="5"/>
        <v>0</v>
      </c>
      <c r="X14" s="104"/>
      <c r="Y14" s="104">
        <f t="shared" si="13"/>
        <v>1131000</v>
      </c>
      <c r="AD14" s="33">
        <f t="shared" si="6"/>
        <v>27.125</v>
      </c>
      <c r="AE14" s="51"/>
      <c r="AF14" s="51">
        <f t="shared" si="14"/>
        <v>27.125</v>
      </c>
      <c r="AG14" s="51">
        <f t="shared" si="8"/>
        <v>27.125</v>
      </c>
      <c r="AH14" s="53"/>
      <c r="AI14" s="51">
        <f t="shared" si="9"/>
        <v>0</v>
      </c>
      <c r="AK14" s="44">
        <v>969000</v>
      </c>
      <c r="AL14" s="32" t="str">
        <f t="shared" si="10"/>
        <v>Ronald</v>
      </c>
      <c r="AN14" s="40"/>
      <c r="AO14" s="32">
        <f t="shared" si="11"/>
        <v>0</v>
      </c>
    </row>
    <row r="15" spans="1:42" s="150" customFormat="1" ht="26.1" customHeight="1">
      <c r="A15" s="140"/>
      <c r="B15" s="141">
        <v>11</v>
      </c>
      <c r="C15" s="159" t="s">
        <v>36</v>
      </c>
      <c r="D15" s="142" t="s">
        <v>3</v>
      </c>
      <c r="E15" s="141"/>
      <c r="F15" s="142"/>
      <c r="G15" s="142"/>
      <c r="H15" s="142"/>
      <c r="I15" s="143" t="s">
        <v>53</v>
      </c>
      <c r="J15" s="141"/>
      <c r="K15" s="154"/>
      <c r="L15" s="144"/>
      <c r="M15" s="144">
        <v>171</v>
      </c>
      <c r="N15" s="144">
        <v>22</v>
      </c>
      <c r="O15" s="155">
        <v>8</v>
      </c>
      <c r="P15" s="146">
        <f t="shared" si="0"/>
        <v>201</v>
      </c>
      <c r="Q15" s="147">
        <f>((data!$A$3/8)*L15)+((data!$B$3/8)*(M15+N15+O15))+(P15*$E$24)</f>
        <v>854250</v>
      </c>
      <c r="R15" s="147">
        <f t="shared" si="1"/>
        <v>100000</v>
      </c>
      <c r="S15" s="147">
        <f t="shared" si="2"/>
        <v>25125</v>
      </c>
      <c r="T15" s="148">
        <f t="shared" si="3"/>
        <v>0</v>
      </c>
      <c r="U15" s="147">
        <f t="shared" si="4"/>
        <v>75375</v>
      </c>
      <c r="V15" s="149">
        <f t="shared" si="12"/>
        <v>0</v>
      </c>
      <c r="W15" s="147">
        <f t="shared" si="5"/>
        <v>0</v>
      </c>
      <c r="X15" s="147"/>
      <c r="Y15" s="147">
        <f t="shared" si="13"/>
        <v>1055000</v>
      </c>
      <c r="AD15" s="150">
        <f t="shared" si="6"/>
        <v>25.125</v>
      </c>
      <c r="AF15" s="150">
        <f t="shared" si="14"/>
        <v>25.125</v>
      </c>
      <c r="AG15" s="150">
        <f t="shared" si="8"/>
        <v>25.125</v>
      </c>
      <c r="AH15" s="151"/>
      <c r="AI15" s="150">
        <f t="shared" si="9"/>
        <v>0</v>
      </c>
      <c r="AK15" s="152">
        <v>756500</v>
      </c>
      <c r="AL15" s="150" t="str">
        <f t="shared" si="10"/>
        <v>Yulika</v>
      </c>
      <c r="AN15" s="153"/>
      <c r="AO15" s="150">
        <f t="shared" si="11"/>
        <v>0</v>
      </c>
    </row>
    <row r="16" spans="1:42" s="32" customFormat="1" ht="26.1" hidden="1" customHeight="1">
      <c r="A16" s="38"/>
      <c r="B16" s="112">
        <v>13</v>
      </c>
      <c r="C16" s="113" t="s">
        <v>37</v>
      </c>
      <c r="D16" s="114"/>
      <c r="E16" s="115">
        <v>0</v>
      </c>
      <c r="F16" s="59"/>
      <c r="G16" s="59"/>
      <c r="H16" s="59"/>
      <c r="I16" s="116"/>
      <c r="J16" s="59"/>
      <c r="K16" s="59"/>
      <c r="L16" s="117"/>
      <c r="M16" s="118"/>
      <c r="N16" s="118"/>
      <c r="O16" s="118"/>
      <c r="P16" s="156">
        <f t="shared" si="0"/>
        <v>0</v>
      </c>
      <c r="Q16" s="119">
        <f>((data!$A$3/8)*L16)+((data!$B$3/8)*(M16+N16+O16))+(P16*$E$24)</f>
        <v>0</v>
      </c>
      <c r="R16" s="119">
        <f t="shared" si="1"/>
        <v>0</v>
      </c>
      <c r="S16" s="119">
        <f t="shared" si="2"/>
        <v>0</v>
      </c>
      <c r="T16" s="119">
        <f t="shared" si="3"/>
        <v>0</v>
      </c>
      <c r="U16" s="119">
        <f t="shared" si="4"/>
        <v>0</v>
      </c>
      <c r="V16" s="120">
        <f t="shared" si="12"/>
        <v>0</v>
      </c>
      <c r="W16" s="119">
        <f t="shared" si="5"/>
        <v>0</v>
      </c>
      <c r="X16" s="119"/>
      <c r="Y16" s="119">
        <f t="shared" si="13"/>
        <v>0</v>
      </c>
      <c r="AD16" s="32">
        <f t="shared" si="6"/>
        <v>0</v>
      </c>
      <c r="AE16" s="32">
        <f t="shared" ref="AE16:AE17" si="15">AD16+AI16</f>
        <v>0</v>
      </c>
      <c r="AF16" s="32">
        <f t="shared" ref="AF16" si="16">AD16-AE16</f>
        <v>0</v>
      </c>
      <c r="AK16" s="44">
        <v>0</v>
      </c>
      <c r="AL16" s="32" t="str">
        <f t="shared" si="10"/>
        <v>-</v>
      </c>
      <c r="AN16" s="40"/>
      <c r="AO16" s="32">
        <f t="shared" si="11"/>
        <v>0</v>
      </c>
    </row>
    <row r="17" spans="1:38" s="32" customFormat="1" ht="26.1" hidden="1" customHeight="1">
      <c r="A17" s="38"/>
      <c r="B17" s="112">
        <v>14</v>
      </c>
      <c r="C17" s="121"/>
      <c r="D17" s="114"/>
      <c r="E17" s="112">
        <v>0</v>
      </c>
      <c r="F17" s="59"/>
      <c r="G17" s="59"/>
      <c r="H17" s="59"/>
      <c r="I17" s="122" t="s">
        <v>37</v>
      </c>
      <c r="J17" s="59"/>
      <c r="K17" s="59"/>
      <c r="L17" s="117"/>
      <c r="M17" s="117"/>
      <c r="N17" s="117"/>
      <c r="O17" s="117"/>
      <c r="P17" s="156">
        <f t="shared" si="0"/>
        <v>0</v>
      </c>
      <c r="Q17" s="119">
        <f>((data!$A$3/8)*L17)+((data!$B$3/8)*(M17+N17+O17))+(P17*$E$24)</f>
        <v>0</v>
      </c>
      <c r="R17" s="119">
        <f t="shared" si="1"/>
        <v>0</v>
      </c>
      <c r="S17" s="119">
        <v>0</v>
      </c>
      <c r="T17" s="119">
        <f t="shared" si="3"/>
        <v>0</v>
      </c>
      <c r="U17" s="119">
        <f t="shared" si="4"/>
        <v>0</v>
      </c>
      <c r="V17" s="120">
        <f t="shared" si="12"/>
        <v>0</v>
      </c>
      <c r="W17" s="119">
        <f t="shared" si="5"/>
        <v>0</v>
      </c>
      <c r="X17" s="119"/>
      <c r="Y17" s="119">
        <f t="shared" si="13"/>
        <v>0</v>
      </c>
      <c r="AE17" s="32">
        <f t="shared" si="15"/>
        <v>0</v>
      </c>
      <c r="AK17" s="44">
        <v>0</v>
      </c>
      <c r="AL17" s="32">
        <f t="shared" si="10"/>
        <v>0</v>
      </c>
    </row>
    <row r="18" spans="1:38" ht="26.1" customHeight="1">
      <c r="A18" s="35"/>
      <c r="B18" s="96"/>
      <c r="C18" s="123"/>
      <c r="D18" s="123"/>
      <c r="E18" s="96"/>
      <c r="F18" s="123"/>
      <c r="G18" s="97"/>
      <c r="H18" s="97"/>
      <c r="I18" s="97"/>
      <c r="J18" s="96">
        <f>SUM(J5:J16)</f>
        <v>0</v>
      </c>
      <c r="K18" s="97"/>
      <c r="L18" s="124">
        <f>SUM(L5:L16)</f>
        <v>672</v>
      </c>
      <c r="M18" s="124">
        <f>SUM(M5:M17)</f>
        <v>672</v>
      </c>
      <c r="N18" s="124">
        <f>SUM(N5:N17)</f>
        <v>672</v>
      </c>
      <c r="O18" s="124">
        <f>SUM(O5:O16)</f>
        <v>80</v>
      </c>
      <c r="P18" s="125">
        <f t="shared" si="0"/>
        <v>2096</v>
      </c>
      <c r="Q18" s="126">
        <f t="shared" ref="Q18:Y18" si="17">SUM(Q5:Q16)</f>
        <v>8992000</v>
      </c>
      <c r="R18" s="126">
        <f t="shared" si="17"/>
        <v>550000</v>
      </c>
      <c r="S18" s="126">
        <f t="shared" si="17"/>
        <v>237500</v>
      </c>
      <c r="T18" s="126">
        <f t="shared" si="17"/>
        <v>550000</v>
      </c>
      <c r="U18" s="126">
        <f t="shared" si="17"/>
        <v>374875</v>
      </c>
      <c r="V18" s="127">
        <f t="shared" si="17"/>
        <v>0</v>
      </c>
      <c r="W18" s="126">
        <f t="shared" si="17"/>
        <v>200000</v>
      </c>
      <c r="X18" s="126">
        <f t="shared" si="17"/>
        <v>0</v>
      </c>
      <c r="Y18" s="126">
        <f t="shared" si="17"/>
        <v>10906500</v>
      </c>
      <c r="AH18">
        <f>SUM(AH5:AH15)</f>
        <v>168</v>
      </c>
      <c r="AI18">
        <f>SUM(AI5:AI15)</f>
        <v>21</v>
      </c>
      <c r="AK18" s="46">
        <f>SUM(AK5:AK17)</f>
        <v>8840500</v>
      </c>
    </row>
    <row r="19" spans="1:38" ht="26.1" customHeight="1">
      <c r="A19" s="35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131">
        <f>L18+M18+N18</f>
        <v>2016</v>
      </c>
      <c r="M19" s="132"/>
      <c r="N19" s="132"/>
      <c r="O19" s="62"/>
      <c r="P19" s="62"/>
      <c r="Q19" s="62"/>
      <c r="R19" s="62"/>
      <c r="S19" s="62"/>
      <c r="T19" s="62"/>
      <c r="U19" s="62"/>
      <c r="V19" s="62"/>
      <c r="W19" s="133">
        <f ca="1">NOW()</f>
        <v>45722.485428819447</v>
      </c>
      <c r="X19" s="133"/>
      <c r="Y19" s="62"/>
    </row>
    <row r="20" spans="1:38" ht="26.1" hidden="1" customHeight="1">
      <c r="A20" s="35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38" ht="26.1" hidden="1" customHeight="1">
      <c r="A21" s="35"/>
      <c r="B21" s="63"/>
      <c r="C21" s="63"/>
      <c r="D21" s="63"/>
      <c r="E21" s="64"/>
      <c r="F21" s="63"/>
      <c r="G21" s="65"/>
      <c r="H21" s="66"/>
      <c r="I21" s="67"/>
      <c r="J21" s="67"/>
      <c r="K21" s="60"/>
      <c r="L21" s="68">
        <f>SUM(L18:N18)</f>
        <v>2016</v>
      </c>
      <c r="M21" s="69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38" ht="26.1" hidden="1" customHeight="1">
      <c r="A22" s="35"/>
      <c r="B22" s="70"/>
      <c r="C22" s="70"/>
      <c r="D22" s="70"/>
      <c r="E22" s="70"/>
      <c r="F22" s="70"/>
      <c r="G22" s="70"/>
      <c r="H22" s="71"/>
      <c r="I22" s="71"/>
      <c r="J22" s="71"/>
      <c r="K22" s="72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38" ht="26.1" hidden="1" customHeight="1">
      <c r="A23" s="35"/>
      <c r="B23" s="74"/>
      <c r="C23" s="75"/>
      <c r="D23" s="70"/>
      <c r="E23" s="70"/>
      <c r="F23" s="70"/>
      <c r="G23" s="70"/>
      <c r="H23" s="70"/>
      <c r="I23" s="75"/>
      <c r="J23" s="70"/>
      <c r="K23" s="70"/>
      <c r="L23" s="70"/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spans="1:38" ht="26.1" hidden="1" customHeight="1">
      <c r="A24" s="35"/>
      <c r="B24" s="76"/>
      <c r="C24" s="76" t="s">
        <v>38</v>
      </c>
      <c r="D24" s="76"/>
      <c r="E24" s="134">
        <f>IF(L19&gt;0,data!F3/L19)</f>
        <v>0</v>
      </c>
      <c r="F24" s="134"/>
      <c r="G24" s="70"/>
      <c r="H24" s="75"/>
      <c r="I24" s="75"/>
      <c r="J24" s="77" t="s">
        <v>39</v>
      </c>
      <c r="K24" s="77"/>
      <c r="L24" s="77"/>
      <c r="M24" s="77"/>
      <c r="N24" s="77"/>
      <c r="O24" s="77"/>
      <c r="P24" s="77"/>
      <c r="Q24" s="62"/>
      <c r="R24" s="62"/>
      <c r="S24" s="62"/>
      <c r="T24" s="62"/>
      <c r="U24" s="62"/>
      <c r="V24" s="62"/>
      <c r="W24" s="62"/>
      <c r="X24" s="71"/>
      <c r="Y24" s="71"/>
    </row>
    <row r="25" spans="1:38" ht="26.1" hidden="1" customHeight="1">
      <c r="A25" s="35"/>
      <c r="B25" s="78"/>
      <c r="C25" s="78"/>
      <c r="D25" s="78"/>
      <c r="E25" s="72"/>
      <c r="F25" s="72"/>
      <c r="G25" s="70"/>
      <c r="H25" s="75"/>
      <c r="I25" s="70"/>
      <c r="J25" s="70"/>
      <c r="K25" s="79"/>
      <c r="L25" s="79"/>
      <c r="M25" s="79"/>
      <c r="N25" s="79"/>
      <c r="O25" s="80"/>
      <c r="P25" s="80"/>
      <c r="Q25" s="62"/>
      <c r="R25" s="62"/>
      <c r="S25" s="62"/>
      <c r="T25" s="62"/>
      <c r="U25" s="62"/>
      <c r="V25" s="62"/>
      <c r="W25" s="62"/>
      <c r="X25" s="71"/>
      <c r="Y25" s="71"/>
    </row>
    <row r="26" spans="1:38" ht="26.1" hidden="1" customHeight="1">
      <c r="A26" s="35"/>
      <c r="B26" s="72"/>
      <c r="C26" s="72"/>
      <c r="D26" s="72"/>
      <c r="E26" s="72"/>
      <c r="F26" s="72"/>
      <c r="G26" s="70"/>
      <c r="H26" s="75"/>
      <c r="I26" s="70"/>
      <c r="J26" s="70"/>
      <c r="K26" s="80"/>
      <c r="L26" s="80"/>
      <c r="M26" s="80"/>
      <c r="N26" s="79"/>
      <c r="O26" s="80"/>
      <c r="P26" s="80"/>
      <c r="Q26" s="62"/>
      <c r="R26" s="62"/>
      <c r="S26" s="62"/>
      <c r="T26" s="62"/>
      <c r="U26" s="62"/>
      <c r="V26" s="62"/>
      <c r="W26" s="62"/>
      <c r="X26" s="71"/>
      <c r="Y26" s="71"/>
    </row>
    <row r="27" spans="1:38" ht="26.1" customHeight="1">
      <c r="A27" s="35"/>
      <c r="B27" s="136" t="s">
        <v>40</v>
      </c>
      <c r="C27" s="136"/>
      <c r="D27" s="136"/>
      <c r="E27" s="136"/>
      <c r="F27" s="81">
        <v>3</v>
      </c>
      <c r="G27" s="70"/>
      <c r="H27" s="75"/>
      <c r="I27" s="70"/>
      <c r="J27" s="160"/>
      <c r="K27" s="160"/>
      <c r="L27" s="160"/>
      <c r="M27" s="160"/>
      <c r="N27" s="160"/>
      <c r="O27" s="160"/>
      <c r="P27" s="160"/>
      <c r="Q27" s="62"/>
      <c r="R27" s="62"/>
      <c r="S27" s="62"/>
      <c r="T27" s="62"/>
      <c r="U27" s="62"/>
      <c r="V27" s="62"/>
      <c r="W27" s="62"/>
      <c r="X27" s="82">
        <f>1.5*data!A3</f>
        <v>52500</v>
      </c>
      <c r="Y27" s="83">
        <f>X27/8</f>
        <v>6562.5</v>
      </c>
    </row>
    <row r="28" spans="1:38" ht="26.1" customHeight="1">
      <c r="A28" s="35"/>
      <c r="B28" s="136" t="s">
        <v>41</v>
      </c>
      <c r="C28" s="136"/>
      <c r="D28" s="136"/>
      <c r="E28" s="136"/>
      <c r="F28" s="84">
        <f>28*24*F27</f>
        <v>2016</v>
      </c>
      <c r="G28" s="85"/>
      <c r="H28" s="84"/>
      <c r="I28" s="85"/>
      <c r="J28" s="160"/>
      <c r="K28" s="160"/>
      <c r="L28" s="160"/>
      <c r="M28" s="160"/>
      <c r="N28" s="160"/>
      <c r="O28" s="160"/>
      <c r="P28" s="160"/>
      <c r="Q28" s="62"/>
      <c r="R28" s="62"/>
      <c r="S28" s="62"/>
      <c r="T28" s="62"/>
      <c r="U28" s="62"/>
      <c r="V28" s="62"/>
      <c r="W28" s="62"/>
      <c r="X28" s="86">
        <f>X27-data!A3</f>
        <v>17500</v>
      </c>
      <c r="Y28" s="83">
        <f>X28/8</f>
        <v>2187.5</v>
      </c>
    </row>
    <row r="29" spans="1:38" ht="26.1" customHeight="1">
      <c r="A29" s="35"/>
      <c r="B29" s="136" t="s">
        <v>42</v>
      </c>
      <c r="C29" s="136"/>
      <c r="D29" s="136"/>
      <c r="E29" s="136"/>
      <c r="F29" s="84">
        <v>0</v>
      </c>
      <c r="G29" s="85"/>
      <c r="H29" s="85"/>
      <c r="I29" s="85"/>
      <c r="J29" s="85"/>
      <c r="K29" s="80"/>
      <c r="L29" s="87"/>
      <c r="M29" s="80"/>
      <c r="N29" s="79"/>
      <c r="O29" s="80"/>
      <c r="P29" s="88"/>
      <c r="Q29" s="62"/>
      <c r="R29" s="62"/>
      <c r="S29" s="62"/>
      <c r="T29" s="62"/>
      <c r="U29" s="62"/>
      <c r="V29" s="62"/>
      <c r="W29" s="62"/>
      <c r="X29" s="71"/>
      <c r="Y29" s="71"/>
    </row>
    <row r="30" spans="1:38" ht="26.1" customHeight="1">
      <c r="A30" s="35"/>
      <c r="B30" s="136" t="s">
        <v>43</v>
      </c>
      <c r="C30" s="136"/>
      <c r="D30" s="136"/>
      <c r="E30" s="136"/>
      <c r="F30" s="89">
        <f>F28-F29</f>
        <v>2016</v>
      </c>
      <c r="G30" s="90"/>
      <c r="H30" s="90"/>
      <c r="I30" s="90"/>
      <c r="J30" s="90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71"/>
      <c r="Y30" s="71"/>
    </row>
    <row r="31" spans="1:38" ht="26.1" customHeight="1">
      <c r="A31" s="35"/>
      <c r="B31" s="135" t="s">
        <v>44</v>
      </c>
      <c r="C31" s="135"/>
      <c r="D31" s="135"/>
      <c r="E31" s="135"/>
      <c r="F31" s="91">
        <f>P18</f>
        <v>2096</v>
      </c>
      <c r="G31" s="92"/>
      <c r="H31" s="92"/>
      <c r="I31" s="92"/>
      <c r="J31" s="9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93"/>
      <c r="Y31" s="93"/>
    </row>
    <row r="32" spans="1:38" ht="26.1" customHeight="1">
      <c r="A32" s="35"/>
      <c r="B32" s="135" t="s">
        <v>45</v>
      </c>
      <c r="C32" s="135"/>
      <c r="D32" s="135"/>
      <c r="E32" s="135"/>
      <c r="F32" s="94">
        <f>-(F30-F31)</f>
        <v>80</v>
      </c>
      <c r="G32" s="95"/>
      <c r="H32" s="95"/>
      <c r="I32" s="95"/>
      <c r="J32" s="9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0"/>
      <c r="Y32" s="67"/>
    </row>
    <row r="33" spans="25:25" ht="26.1" customHeight="1">
      <c r="Y33" s="43"/>
    </row>
  </sheetData>
  <sortState xmlns:xlrd2="http://schemas.microsoft.com/office/spreadsheetml/2017/richdata2" ref="B5:Y18">
    <sortCondition ref="C5:C18"/>
  </sortState>
  <mergeCells count="11">
    <mergeCell ref="B32:E32"/>
    <mergeCell ref="B27:E27"/>
    <mergeCell ref="B28:E28"/>
    <mergeCell ref="B29:E29"/>
    <mergeCell ref="B30:E30"/>
    <mergeCell ref="B31:E31"/>
    <mergeCell ref="B3:D3"/>
    <mergeCell ref="AH4:AI4"/>
    <mergeCell ref="L19:N19"/>
    <mergeCell ref="W19:X19"/>
    <mergeCell ref="E24:F24"/>
  </mergeCells>
  <conditionalFormatting sqref="A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{46D94441-9B68-4E5A-AA77-EBACE27FBA72}</x14:id>
        </ext>
      </extLs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:AD17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D94441-9B68-4E5A-AA77-EBACE27FBA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9"/>
  <sheetViews>
    <sheetView showGridLines="0" workbookViewId="0">
      <selection activeCell="H17" sqref="H17"/>
    </sheetView>
  </sheetViews>
  <sheetFormatPr defaultRowHeight="15"/>
  <cols>
    <col min="3" max="3" width="3.42578125" customWidth="1"/>
    <col min="4" max="4" width="9.28515625" customWidth="1"/>
    <col min="5" max="5" width="12.140625" customWidth="1"/>
    <col min="6" max="6" width="13" customWidth="1"/>
    <col min="7" max="7" width="18.42578125" customWidth="1"/>
  </cols>
  <sheetData>
    <row r="3" spans="3:7">
      <c r="C3" s="137" t="s">
        <v>74</v>
      </c>
      <c r="D3" s="138"/>
      <c r="E3" s="138"/>
      <c r="F3" s="138"/>
      <c r="G3" s="139"/>
    </row>
    <row r="4" spans="3:7">
      <c r="C4" s="50" t="s">
        <v>1</v>
      </c>
      <c r="D4" s="50" t="s">
        <v>75</v>
      </c>
      <c r="E4" s="50" t="s">
        <v>76</v>
      </c>
      <c r="F4" s="50" t="s">
        <v>77</v>
      </c>
      <c r="G4" s="50" t="s">
        <v>78</v>
      </c>
    </row>
    <row r="5" spans="3:7">
      <c r="C5" s="49">
        <v>1</v>
      </c>
      <c r="D5" s="50" t="s">
        <v>84</v>
      </c>
      <c r="E5" s="50">
        <v>1</v>
      </c>
      <c r="F5" s="49">
        <f>E5*8</f>
        <v>8</v>
      </c>
      <c r="G5" s="50"/>
    </row>
    <row r="6" spans="3:7">
      <c r="C6" s="49">
        <v>2</v>
      </c>
      <c r="D6" s="50" t="s">
        <v>28</v>
      </c>
      <c r="E6" s="50">
        <v>5</v>
      </c>
      <c r="F6" s="49">
        <f t="shared" ref="F6:F7" si="0">E6*8</f>
        <v>40</v>
      </c>
      <c r="G6" s="50"/>
    </row>
    <row r="7" spans="3:7">
      <c r="C7" s="49">
        <v>3</v>
      </c>
      <c r="D7" s="50" t="s">
        <v>32</v>
      </c>
      <c r="E7" s="50">
        <v>2</v>
      </c>
      <c r="F7" s="49">
        <f t="shared" si="0"/>
        <v>16</v>
      </c>
      <c r="G7" s="49"/>
    </row>
    <row r="10" spans="3:7">
      <c r="D10" s="137" t="s">
        <v>79</v>
      </c>
      <c r="E10" s="138"/>
      <c r="F10" s="138"/>
      <c r="G10" s="139"/>
    </row>
    <row r="11" spans="3:7">
      <c r="D11" s="50" t="s">
        <v>25</v>
      </c>
      <c r="E11" s="49"/>
      <c r="F11" s="49"/>
      <c r="G11" s="49"/>
    </row>
    <row r="12" spans="3:7">
      <c r="D12" s="50" t="s">
        <v>73</v>
      </c>
      <c r="E12" s="49"/>
      <c r="F12" s="49"/>
      <c r="G12" s="49"/>
    </row>
    <row r="13" spans="3:7">
      <c r="D13" s="50" t="s">
        <v>29</v>
      </c>
      <c r="E13" s="50" t="s">
        <v>80</v>
      </c>
      <c r="F13" s="50" t="s">
        <v>81</v>
      </c>
      <c r="G13" s="49"/>
    </row>
    <row r="14" spans="3:7">
      <c r="D14" s="50" t="s">
        <v>34</v>
      </c>
      <c r="E14" s="50" t="s">
        <v>82</v>
      </c>
      <c r="F14" s="50" t="s">
        <v>83</v>
      </c>
      <c r="G14" s="49"/>
    </row>
    <row r="17" spans="4:7">
      <c r="D17" s="137" t="s">
        <v>87</v>
      </c>
      <c r="E17" s="138"/>
      <c r="F17" s="138"/>
      <c r="G17" s="139"/>
    </row>
    <row r="18" spans="4:7">
      <c r="D18" s="50" t="s">
        <v>75</v>
      </c>
      <c r="E18" s="50" t="s">
        <v>76</v>
      </c>
      <c r="F18" s="50" t="s">
        <v>77</v>
      </c>
      <c r="G18" s="50" t="s">
        <v>78</v>
      </c>
    </row>
    <row r="19" spans="4:7">
      <c r="D19" s="50" t="s">
        <v>28</v>
      </c>
      <c r="E19" s="49">
        <v>2</v>
      </c>
      <c r="F19" s="49">
        <f>E19*8</f>
        <v>16</v>
      </c>
      <c r="G19" s="50" t="s">
        <v>88</v>
      </c>
    </row>
  </sheetData>
  <mergeCells count="3">
    <mergeCell ref="C3:G3"/>
    <mergeCell ref="D10:G10"/>
    <mergeCell ref="D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A37"/>
  <sheetViews>
    <sheetView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46</v>
      </c>
      <c r="S4" s="5" t="s">
        <v>47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48</v>
      </c>
      <c r="D5" s="9" t="s">
        <v>3</v>
      </c>
      <c r="E5" s="7" t="s">
        <v>49</v>
      </c>
      <c r="F5" s="10"/>
      <c r="G5" s="7">
        <v>1</v>
      </c>
      <c r="H5" s="7"/>
      <c r="I5" s="15" t="s">
        <v>37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50</v>
      </c>
      <c r="D6" s="13" t="s">
        <v>26</v>
      </c>
      <c r="E6" s="14" t="s">
        <v>51</v>
      </c>
      <c r="F6" s="13"/>
      <c r="G6" s="14"/>
      <c r="H6" s="14"/>
      <c r="I6" s="14" t="s">
        <v>37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52</v>
      </c>
      <c r="D7" s="9" t="s">
        <v>3</v>
      </c>
      <c r="E7" s="15"/>
      <c r="F7" s="9"/>
      <c r="G7" s="15">
        <v>2</v>
      </c>
      <c r="H7" s="15" t="s">
        <v>31</v>
      </c>
      <c r="I7" s="47" t="s">
        <v>53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54</v>
      </c>
      <c r="D8" s="9" t="s">
        <v>26</v>
      </c>
      <c r="E8" s="7" t="s">
        <v>49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55</v>
      </c>
      <c r="D9" s="17" t="s">
        <v>3</v>
      </c>
      <c r="E9" s="16"/>
      <c r="F9" s="17"/>
      <c r="G9" s="18">
        <v>1</v>
      </c>
      <c r="H9" s="18" t="s">
        <v>31</v>
      </c>
      <c r="I9" s="18" t="s">
        <v>53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30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53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56</v>
      </c>
      <c r="D11" s="17" t="s">
        <v>3</v>
      </c>
      <c r="E11" s="16" t="s">
        <v>51</v>
      </c>
      <c r="F11" s="18"/>
      <c r="G11" s="18">
        <v>1</v>
      </c>
      <c r="H11" s="18"/>
      <c r="I11" s="18" t="s">
        <v>37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32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53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57</v>
      </c>
      <c r="D14" s="9" t="s">
        <v>3</v>
      </c>
      <c r="E14" s="15"/>
      <c r="F14" s="9"/>
      <c r="G14" s="15">
        <v>1</v>
      </c>
      <c r="H14" s="15"/>
      <c r="I14" s="15" t="s">
        <v>53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58</v>
      </c>
      <c r="D15" s="9" t="s">
        <v>3</v>
      </c>
      <c r="E15" s="7" t="s">
        <v>51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26</v>
      </c>
      <c r="E16" s="7" t="s">
        <v>51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59</v>
      </c>
      <c r="D17" s="9" t="s">
        <v>26</v>
      </c>
      <c r="E17" s="7" t="s">
        <v>51</v>
      </c>
      <c r="F17" s="20"/>
      <c r="G17" s="20"/>
      <c r="H17" s="20"/>
      <c r="I17" s="15" t="s">
        <v>37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48" t="s">
        <v>60</v>
      </c>
      <c r="L21" s="48" t="s">
        <v>61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51</v>
      </c>
      <c r="F23" s="5" t="s">
        <v>62</v>
      </c>
      <c r="G23" s="5" t="s">
        <v>63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64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46</v>
      </c>
      <c r="V23" s="5" t="s">
        <v>47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48</v>
      </c>
      <c r="D24" s="23" t="s">
        <v>3</v>
      </c>
      <c r="E24" s="23">
        <v>4</v>
      </c>
      <c r="F24" s="23">
        <v>4</v>
      </c>
      <c r="G24" s="23">
        <v>2</v>
      </c>
      <c r="H24" s="23" t="s">
        <v>65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50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52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54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55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30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56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32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57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58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59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"/>
  <sheetViews>
    <sheetView workbookViewId="0">
      <selection activeCell="A3" sqref="A3"/>
    </sheetView>
  </sheetViews>
  <sheetFormatPr defaultColWidth="9" defaultRowHeight="15"/>
  <cols>
    <col min="9" max="9" width="18.140625" customWidth="1"/>
  </cols>
  <sheetData>
    <row r="1" spans="1:10">
      <c r="A1" t="s">
        <v>66</v>
      </c>
    </row>
    <row r="2" spans="1:10">
      <c r="A2" t="s">
        <v>67</v>
      </c>
      <c r="B2" t="s">
        <v>68</v>
      </c>
      <c r="F2" s="1" t="s">
        <v>69</v>
      </c>
      <c r="I2" s="1" t="s">
        <v>70</v>
      </c>
      <c r="J2" s="1" t="s">
        <v>71</v>
      </c>
    </row>
    <row r="3" spans="1:10">
      <c r="A3">
        <v>35000</v>
      </c>
      <c r="B3">
        <v>34000</v>
      </c>
      <c r="F3">
        <v>0</v>
      </c>
      <c r="I3" s="3">
        <f>Sheet1!B3</f>
        <v>45689</v>
      </c>
    </row>
    <row r="4" spans="1:10">
      <c r="I4" s="4">
        <f>EOMONTH(I3,0)</f>
        <v>45716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72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2025-01-09T08:11:00Z</cp:lastPrinted>
  <dcterms:created xsi:type="dcterms:W3CDTF">2022-07-05T15:57:00Z</dcterms:created>
  <dcterms:modified xsi:type="dcterms:W3CDTF">2025-03-07T02:42:24Z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1057-12.2.0.19805</vt:lpwstr>
  </property>
</Properties>
</file>