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omas\Downloads\"/>
    </mc:Choice>
  </mc:AlternateContent>
  <xr:revisionPtr revIDLastSave="0" documentId="13_ncr:1_{1B1D65FE-D3F1-44FE-8CAF-541B734626A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3" sheetId="4" r:id="rId2"/>
    <sheet name="Sheet2" sheetId="3" r:id="rId3"/>
    <sheet name="dat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1" l="1"/>
  <c r="W7" i="1"/>
  <c r="AI6" i="1"/>
  <c r="R5" i="1" l="1"/>
  <c r="R6" i="1"/>
  <c r="R7" i="1"/>
  <c r="R8" i="1"/>
  <c r="R9" i="1"/>
  <c r="R10" i="1" l="1"/>
  <c r="R11" i="1"/>
  <c r="R12" i="1"/>
  <c r="R13" i="1"/>
  <c r="R14" i="1"/>
  <c r="R15" i="1"/>
  <c r="U6" i="1" l="1"/>
  <c r="U9" i="1"/>
  <c r="U13" i="1"/>
  <c r="U5" i="1"/>
  <c r="T11" i="1"/>
  <c r="T12" i="1"/>
  <c r="T13" i="1"/>
  <c r="T14" i="1"/>
  <c r="T15" i="1"/>
  <c r="T5" i="1"/>
  <c r="T6" i="1"/>
  <c r="T7" i="1"/>
  <c r="T8" i="1"/>
  <c r="T9" i="1"/>
  <c r="P6" i="1"/>
  <c r="P7" i="1"/>
  <c r="P8" i="1"/>
  <c r="U8" i="1" s="1"/>
  <c r="P9" i="1"/>
  <c r="S9" i="1" s="1"/>
  <c r="P10" i="1"/>
  <c r="U10" i="1" s="1"/>
  <c r="P11" i="1"/>
  <c r="S11" i="1" s="1"/>
  <c r="P12" i="1"/>
  <c r="U12" i="1" s="1"/>
  <c r="P13" i="1"/>
  <c r="P14" i="1"/>
  <c r="U14" i="1" s="1"/>
  <c r="P15" i="1"/>
  <c r="U15" i="1" s="1"/>
  <c r="P16" i="1"/>
  <c r="P17" i="1"/>
  <c r="S12" i="1" l="1"/>
  <c r="U7" i="1"/>
  <c r="S15" i="1"/>
  <c r="S6" i="1"/>
  <c r="AD6" i="1"/>
  <c r="S14" i="1"/>
  <c r="U11" i="1"/>
  <c r="I3" i="2"/>
  <c r="F6" i="4"/>
  <c r="F7" i="4"/>
  <c r="F5" i="4"/>
  <c r="A10" i="2" l="1"/>
  <c r="A11" i="2" s="1"/>
  <c r="A12" i="2" s="1"/>
  <c r="I4" i="2"/>
  <c r="P37" i="3"/>
  <c r="N37" i="3"/>
  <c r="L37" i="3"/>
  <c r="S36" i="3"/>
  <c r="Q36" i="3"/>
  <c r="O36" i="3"/>
  <c r="M36" i="3"/>
  <c r="T36" i="3" s="1"/>
  <c r="S35" i="3"/>
  <c r="Q35" i="3"/>
  <c r="O35" i="3"/>
  <c r="M35" i="3"/>
  <c r="T35" i="3" s="1"/>
  <c r="S34" i="3"/>
  <c r="Q34" i="3"/>
  <c r="O34" i="3"/>
  <c r="M34" i="3"/>
  <c r="T34" i="3" s="1"/>
  <c r="S33" i="3"/>
  <c r="Q33" i="3"/>
  <c r="O33" i="3"/>
  <c r="M33" i="3"/>
  <c r="T33" i="3" s="1"/>
  <c r="S32" i="3"/>
  <c r="Q32" i="3"/>
  <c r="O32" i="3"/>
  <c r="M32" i="3"/>
  <c r="T32" i="3" s="1"/>
  <c r="S31" i="3"/>
  <c r="Q31" i="3"/>
  <c r="O31" i="3"/>
  <c r="M31" i="3"/>
  <c r="T31" i="3" s="1"/>
  <c r="S30" i="3"/>
  <c r="Q30" i="3"/>
  <c r="O30" i="3"/>
  <c r="M30" i="3"/>
  <c r="T30" i="3" s="1"/>
  <c r="S29" i="3"/>
  <c r="Q29" i="3"/>
  <c r="O29" i="3"/>
  <c r="M29" i="3"/>
  <c r="T29" i="3" s="1"/>
  <c r="S28" i="3"/>
  <c r="Q28" i="3"/>
  <c r="O28" i="3"/>
  <c r="M28" i="3"/>
  <c r="T28" i="3" s="1"/>
  <c r="S27" i="3"/>
  <c r="Q27" i="3"/>
  <c r="O27" i="3"/>
  <c r="M27" i="3"/>
  <c r="T27" i="3" s="1"/>
  <c r="S26" i="3"/>
  <c r="Q26" i="3"/>
  <c r="O26" i="3"/>
  <c r="M26" i="3"/>
  <c r="T26" i="3" s="1"/>
  <c r="S25" i="3"/>
  <c r="Q25" i="3"/>
  <c r="O25" i="3"/>
  <c r="M25" i="3"/>
  <c r="M37" i="3" s="1"/>
  <c r="S24" i="3"/>
  <c r="S37" i="3" s="1"/>
  <c r="Q24" i="3"/>
  <c r="Q37" i="3" s="1"/>
  <c r="O24" i="3"/>
  <c r="O37" i="3" s="1"/>
  <c r="M24" i="3"/>
  <c r="T24" i="3" s="1"/>
  <c r="R17" i="3"/>
  <c r="S17" i="3" s="1"/>
  <c r="S16" i="3"/>
  <c r="R16" i="3"/>
  <c r="R15" i="3"/>
  <c r="S15" i="3" s="1"/>
  <c r="S14" i="3"/>
  <c r="R14" i="3"/>
  <c r="R13" i="3"/>
  <c r="S13" i="3" s="1"/>
  <c r="S12" i="3"/>
  <c r="R12" i="3"/>
  <c r="R11" i="3"/>
  <c r="S11" i="3" s="1"/>
  <c r="S10" i="3"/>
  <c r="R10" i="3"/>
  <c r="R9" i="3"/>
  <c r="S9" i="3" s="1"/>
  <c r="S8" i="3"/>
  <c r="R8" i="3"/>
  <c r="R7" i="3"/>
  <c r="S7" i="3" s="1"/>
  <c r="S6" i="3"/>
  <c r="R6" i="3"/>
  <c r="R5" i="3"/>
  <c r="S5" i="3" s="1"/>
  <c r="F28" i="1"/>
  <c r="F30" i="1" s="1"/>
  <c r="X27" i="1"/>
  <c r="X28" i="1" s="1"/>
  <c r="Y28" i="1" s="1"/>
  <c r="W19" i="1"/>
  <c r="AK18" i="1"/>
  <c r="AH18" i="1"/>
  <c r="X18" i="1"/>
  <c r="O18" i="1"/>
  <c r="N18" i="1"/>
  <c r="M18" i="1"/>
  <c r="L18" i="1"/>
  <c r="J18" i="1"/>
  <c r="AL17" i="1"/>
  <c r="AE17" i="1"/>
  <c r="W17" i="1"/>
  <c r="V17" i="1"/>
  <c r="U17" i="1"/>
  <c r="T17" i="1"/>
  <c r="R17" i="1"/>
  <c r="AO16" i="1"/>
  <c r="AL16" i="1"/>
  <c r="W16" i="1"/>
  <c r="V16" i="1"/>
  <c r="U16" i="1"/>
  <c r="T16" i="1"/>
  <c r="R16" i="1"/>
  <c r="AD16" i="1"/>
  <c r="AO15" i="1"/>
  <c r="AL15" i="1"/>
  <c r="AI15" i="1"/>
  <c r="W15" i="1"/>
  <c r="V15" i="1"/>
  <c r="AD15" i="1"/>
  <c r="AO14" i="1"/>
  <c r="AL14" i="1"/>
  <c r="AI14" i="1"/>
  <c r="W14" i="1"/>
  <c r="V14" i="1"/>
  <c r="AO13" i="1"/>
  <c r="AL13" i="1"/>
  <c r="AI13" i="1"/>
  <c r="W13" i="1"/>
  <c r="V13" i="1"/>
  <c r="AD13" i="1"/>
  <c r="AO12" i="1"/>
  <c r="AL12" i="1"/>
  <c r="AI12" i="1"/>
  <c r="W12" i="1"/>
  <c r="V12" i="1"/>
  <c r="AD12" i="1"/>
  <c r="AO11" i="1"/>
  <c r="AL11" i="1"/>
  <c r="AI11" i="1"/>
  <c r="W11" i="1"/>
  <c r="V11" i="1"/>
  <c r="AD11" i="1"/>
  <c r="AO10" i="1"/>
  <c r="AL10" i="1"/>
  <c r="AI10" i="1"/>
  <c r="W10" i="1"/>
  <c r="V10" i="1"/>
  <c r="T10" i="1"/>
  <c r="AD10" i="1"/>
  <c r="AO9" i="1"/>
  <c r="AL9" i="1"/>
  <c r="AI9" i="1"/>
  <c r="V9" i="1"/>
  <c r="AO8" i="1"/>
  <c r="AL8" i="1"/>
  <c r="AI8" i="1"/>
  <c r="AD8" i="1"/>
  <c r="AF8" i="1" s="1"/>
  <c r="W8" i="1"/>
  <c r="V8" i="1"/>
  <c r="S8" i="1"/>
  <c r="AO7" i="1"/>
  <c r="AL7" i="1"/>
  <c r="AI7" i="1"/>
  <c r="V7" i="1"/>
  <c r="AO5" i="1"/>
  <c r="AL5" i="1"/>
  <c r="AI5" i="1"/>
  <c r="W5" i="1"/>
  <c r="V5" i="1"/>
  <c r="P5" i="1"/>
  <c r="S5" i="1" s="1"/>
  <c r="T25" i="3" l="1"/>
  <c r="T37" i="3" s="1"/>
  <c r="AI18" i="1"/>
  <c r="V18" i="1"/>
  <c r="P18" i="1"/>
  <c r="F31" i="1" s="1"/>
  <c r="F32" i="1" s="1"/>
  <c r="R18" i="1"/>
  <c r="AD14" i="1"/>
  <c r="AF14" i="1" s="1"/>
  <c r="L19" i="1"/>
  <c r="E24" i="1" s="1"/>
  <c r="W18" i="1"/>
  <c r="AG8" i="1"/>
  <c r="S16" i="1"/>
  <c r="T18" i="1"/>
  <c r="AE16" i="1"/>
  <c r="AF16" i="1" s="1"/>
  <c r="AG10" i="1"/>
  <c r="AF10" i="1"/>
  <c r="AG13" i="1"/>
  <c r="AF13" i="1"/>
  <c r="AG15" i="1"/>
  <c r="AF15" i="1"/>
  <c r="AG11" i="1"/>
  <c r="AF11" i="1"/>
  <c r="AG12" i="1"/>
  <c r="AF12" i="1"/>
  <c r="AD5" i="1"/>
  <c r="AD7" i="1"/>
  <c r="AD9" i="1"/>
  <c r="L21" i="1"/>
  <c r="Y27" i="1"/>
  <c r="Q14" i="1" l="1"/>
  <c r="Q15" i="1"/>
  <c r="Y15" i="1" s="1"/>
  <c r="Q10" i="1"/>
  <c r="Q9" i="1"/>
  <c r="Q7" i="1"/>
  <c r="Q11" i="1"/>
  <c r="Y11" i="1" s="1"/>
  <c r="Q13" i="1"/>
  <c r="Q8" i="1"/>
  <c r="Y8" i="1" s="1"/>
  <c r="Q12" i="1"/>
  <c r="Q6" i="1"/>
  <c r="Y6" i="1" s="1"/>
  <c r="S18" i="1"/>
  <c r="AG14" i="1"/>
  <c r="Y12" i="1"/>
  <c r="Q5" i="1"/>
  <c r="Y5" i="1" s="1"/>
  <c r="Y14" i="1"/>
  <c r="Y13" i="1"/>
  <c r="Y7" i="1"/>
  <c r="Q16" i="1"/>
  <c r="Y16" i="1" s="1"/>
  <c r="Q17" i="1"/>
  <c r="Y17" i="1" s="1"/>
  <c r="Y10" i="1"/>
  <c r="AG5" i="1"/>
  <c r="AF5" i="1"/>
  <c r="U18" i="1"/>
  <c r="AG9" i="1"/>
  <c r="AF9" i="1"/>
  <c r="AG7" i="1"/>
  <c r="AF7" i="1"/>
  <c r="Q18" i="1" l="1"/>
  <c r="Y9" i="1"/>
  <c r="Y18" i="1" s="1"/>
</calcChain>
</file>

<file path=xl/sharedStrings.xml><?xml version="1.0" encoding="utf-8"?>
<sst xmlns="http://schemas.openxmlformats.org/spreadsheetml/2006/main" count="228" uniqueCount="88">
  <si>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</si>
  <si>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</si>
  <si>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</si>
  <si>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</si>
  <si>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</si>
  <si>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</si>
  <si>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</si>
  <si>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</si>
  <si>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</si>
  <si>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</si>
  <si>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</si>
  <si>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</si>
  <si>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</si>
  <si>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</si>
  <si>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</si>
  <si>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</si>
  <si>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</si>
  <si>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</si>
  <si>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</si>
  <si>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</si>
  <si>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</si>
  <si>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</si>
  <si>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</si>
  <si>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</si>
  <si>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</si>
  <si>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Alfred</t>
  </si>
  <si>
    <t>percobaan</t>
  </si>
  <si>
    <t>Arif</t>
  </si>
  <si>
    <t>Gilang</t>
  </si>
  <si>
    <t>Hafis</t>
  </si>
  <si>
    <t>Henbediona</t>
  </si>
  <si>
    <t>ok</t>
  </si>
  <si>
    <t>Reza</t>
  </si>
  <si>
    <t>riniroma</t>
  </si>
  <si>
    <t>Ridwan</t>
  </si>
  <si>
    <t>Ronald</t>
  </si>
  <si>
    <t>Yulika</t>
  </si>
  <si>
    <t>-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</si>
  <si>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</si>
  <si>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</si>
  <si>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</si>
  <si>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</si>
  <si>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</si>
  <si>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</si>
  <si>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</si>
  <si>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</si>
  <si>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>basik jam</t>
  </si>
  <si>
    <t>basik hari</t>
  </si>
  <si>
    <t>Ali</t>
  </si>
  <si>
    <t>pelatihan</t>
  </si>
  <si>
    <t>Iman</t>
  </si>
  <si>
    <t>meeting</t>
  </si>
  <si>
    <t>Ardian</t>
  </si>
  <si>
    <t>+</t>
  </si>
  <si>
    <t>Ajeng</t>
  </si>
  <si>
    <t>Yudha</t>
  </si>
  <si>
    <t>Anita</t>
  </si>
  <si>
    <t>Rini</t>
  </si>
  <si>
    <t>Rizal</t>
  </si>
  <si>
    <t>Haris</t>
  </si>
  <si>
    <t>1</t>
  </si>
  <si>
    <t>2-3</t>
  </si>
  <si>
    <t>gc</t>
  </si>
  <si>
    <t>peatihan</t>
  </si>
  <si>
    <t>nilai shift 1</t>
  </si>
  <si>
    <t>no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</si>
  <si>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</si>
  <si>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</si>
  <si>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</si>
  <si>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</si>
  <si>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</si>
  <si>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</si>
  <si>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</si>
  <si>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Awang</t>
  </si>
  <si>
    <t>mepet</t>
  </si>
  <si>
    <t>Rekap Presensi Café</t>
  </si>
  <si>
    <t>Nama</t>
  </si>
  <si>
    <t>Shift</t>
  </si>
  <si>
    <t xml:space="preserve">Total Jam </t>
  </si>
  <si>
    <t>Keterangan</t>
  </si>
  <si>
    <t>Rekap Lulus PK</t>
  </si>
  <si>
    <t>1x Juni 24</t>
  </si>
  <si>
    <t>1x Juli 24</t>
  </si>
  <si>
    <t>1x Agus 24</t>
  </si>
  <si>
    <t>1x Okto 24</t>
  </si>
  <si>
    <t>26jan Telat</t>
  </si>
  <si>
    <t>21Jan Telat</t>
  </si>
  <si>
    <t>pelatihan -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</si>
</sst>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 yyyy"/>
    <numFmt numFmtId="166" formatCode="dd"/>
    <numFmt numFmtId="167" formatCode="mmmm\-yyyy"/>
    <numFmt numFmtId="168" formatCode="#,##0;[Red]\(#,##0\)"/>
    <numFmt numFmtId="169" formatCode="_(* #,##0_);_(* \(#,##0\);_(* &quot;-&quot;??_);_(@_)"/>
  </numFmts>
  <fonts count="25">
    <font>
      <sz val="11"/>
      <name val="Calibri"/>
      <charset val="134"/>
    </font>
    <font>
      <sz val="11"/>
      <color rgb="FFFFFF00"/>
      <name val="Calibri"/>
      <charset val="134"/>
    </font>
    <font>
      <sz val="8"/>
      <color rgb="FF1F3964"/>
      <name val="Arial"/>
      <charset val="134"/>
    </font>
    <font>
      <sz val="8"/>
      <name val="Calibri"/>
      <charset val="134"/>
    </font>
    <font>
      <sz val="12"/>
      <color rgb="FF000000"/>
      <name val="Calibri"/>
      <charset val="134"/>
    </font>
    <font>
      <b/>
      <sz val="20"/>
      <color theme="1"/>
      <name val="Calibri"/>
      <charset val="134"/>
    </font>
    <font>
      <sz val="12"/>
      <color rgb="FF1F3964"/>
      <name val="Arial"/>
      <charset val="134"/>
    </font>
    <font>
      <sz val="12"/>
      <name val="Calibri"/>
      <charset val="134"/>
    </font>
    <font>
      <sz val="12"/>
      <name val="Arial"/>
      <charset val="134"/>
    </font>
    <font>
      <sz val="11"/>
      <color rgb="FF000000"/>
      <name val="Calibri"/>
      <charset val="134"/>
    </font>
    <font>
      <sz val="12"/>
      <color theme="1"/>
      <name val="Arial"/>
      <charset val="134"/>
    </font>
    <font>
      <sz val="12"/>
      <color rgb="FF435369"/>
      <name val="Arial"/>
      <charset val="134"/>
    </font>
    <font>
      <b/>
      <sz val="12"/>
      <color rgb="FF435369"/>
      <name val="Arial"/>
      <charset val="134"/>
    </font>
    <font>
      <b/>
      <sz val="12"/>
      <color rgb="FF000000"/>
      <name val="Calibri"/>
      <charset val="134"/>
    </font>
    <font>
      <sz val="11"/>
      <color theme="0" tint="-0.34998626667073579"/>
      <name val="Calibri"/>
      <charset val="134"/>
    </font>
    <font>
      <sz val="9"/>
      <color rgb="FF000000"/>
      <name val="Calibri"/>
      <charset val="134"/>
    </font>
    <font>
      <sz val="10"/>
      <color rgb="FF002060"/>
      <name val="Calibri"/>
      <charset val="134"/>
      <scheme val="minor"/>
    </font>
    <font>
      <sz val="12"/>
      <color theme="0"/>
      <name val="Arial"/>
      <charset val="134"/>
    </font>
    <font>
      <sz val="11"/>
      <name val="Calibri"/>
      <charset val="134"/>
    </font>
    <font>
      <sz val="11"/>
      <name val="Calibri"/>
      <family val="2"/>
    </font>
    <font>
      <sz val="14"/>
      <color rgb="FF1F3964"/>
      <name val="Verdana"/>
      <family val="2"/>
    </font>
    <font>
      <b/>
      <sz val="14"/>
      <name val="Verdana"/>
      <family val="2"/>
    </font>
    <font>
      <sz val="14"/>
      <color rgb="FF333333"/>
      <name val="Verdana"/>
      <family val="2"/>
    </font>
    <font>
      <sz val="14"/>
      <color theme="4" tint="-0.499984740745262"/>
      <name val="Verdana"/>
      <family val="2"/>
    </font>
    <font>
      <sz val="10"/>
      <color rgb="FF1F3964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8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165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164" fontId="2" fillId="3" borderId="1" xfId="2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 wrapText="1"/>
    </xf>
    <xf numFmtId="164" fontId="2" fillId="0" borderId="1" xfId="2" applyFont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center" vertical="center" wrapText="1"/>
    </xf>
    <xf numFmtId="164" fontId="2" fillId="4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left" vertical="center"/>
    </xf>
    <xf numFmtId="164" fontId="2" fillId="4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center" vertical="center" wrapText="1"/>
    </xf>
    <xf numFmtId="164" fontId="2" fillId="5" borderId="1" xfId="2" applyFont="1" applyFill="1" applyBorder="1" applyAlignment="1">
      <alignment horizontal="left" vertical="center"/>
    </xf>
    <xf numFmtId="164" fontId="2" fillId="5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left" vertical="center" wrapText="1"/>
    </xf>
    <xf numFmtId="164" fontId="3" fillId="0" borderId="1" xfId="2" applyFont="1" applyBorder="1" applyAlignment="1">
      <alignment vertical="center"/>
    </xf>
    <xf numFmtId="164" fontId="2" fillId="3" borderId="1" xfId="2" applyFont="1" applyFill="1" applyBorder="1" applyAlignment="1">
      <alignment horizontal="left" vertical="center"/>
    </xf>
    <xf numFmtId="164" fontId="0" fillId="0" borderId="0" xfId="2" applyFont="1" applyAlignment="1">
      <alignment vertical="center"/>
    </xf>
    <xf numFmtId="164" fontId="0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4" fontId="2" fillId="0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 wrapText="1"/>
    </xf>
    <xf numFmtId="164" fontId="2" fillId="3" borderId="1" xfId="2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6" fillId="0" borderId="1" xfId="5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left" vertical="center"/>
    </xf>
    <xf numFmtId="0" fontId="6" fillId="0" borderId="1" xfId="5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64" fontId="11" fillId="0" borderId="0" xfId="2" applyFont="1" applyFill="1" applyAlignment="1" applyProtection="1">
      <alignment horizontal="right" vertical="center"/>
    </xf>
    <xf numFmtId="0" fontId="11" fillId="0" borderId="0" xfId="3" applyFont="1" applyAlignment="1" applyProtection="1"/>
    <xf numFmtId="164" fontId="6" fillId="0" borderId="3" xfId="2" applyFont="1" applyFill="1" applyBorder="1" applyAlignment="1">
      <alignment horizontal="right" vertical="center"/>
    </xf>
    <xf numFmtId="0" fontId="11" fillId="0" borderId="0" xfId="3" applyFont="1" applyAlignment="1" applyProtection="1">
      <alignment horizontal="center"/>
    </xf>
    <xf numFmtId="164" fontId="12" fillId="0" borderId="0" xfId="2" applyFont="1" applyFill="1" applyAlignment="1" applyProtection="1">
      <alignment horizontal="right" vertical="center"/>
    </xf>
    <xf numFmtId="0" fontId="11" fillId="0" borderId="0" xfId="3" applyFont="1" applyFill="1" applyAlignment="1" applyProtection="1">
      <alignment horizontal="center"/>
    </xf>
    <xf numFmtId="168" fontId="11" fillId="0" borderId="0" xfId="2" applyNumberFormat="1" applyFont="1" applyFill="1" applyAlignment="1" applyProtection="1">
      <alignment horizontal="right" vertical="center"/>
    </xf>
    <xf numFmtId="0" fontId="11" fillId="0" borderId="0" xfId="3" applyFont="1" applyFill="1" applyAlignment="1" applyProtection="1"/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64" fontId="8" fillId="0" borderId="1" xfId="2" applyFont="1" applyFill="1" applyBorder="1" applyAlignment="1">
      <alignment horizontal="right" vertical="center" wrapText="1"/>
    </xf>
    <xf numFmtId="164" fontId="6" fillId="3" borderId="1" xfId="2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13" fillId="0" borderId="0" xfId="0" applyFont="1" applyAlignment="1"/>
    <xf numFmtId="0" fontId="4" fillId="0" borderId="0" xfId="0" applyFont="1" applyAlignment="1">
      <alignment horizontal="right"/>
    </xf>
    <xf numFmtId="166" fontId="4" fillId="0" borderId="0" xfId="0" applyNumberFormat="1" applyFont="1" applyAlignment="1"/>
    <xf numFmtId="169" fontId="15" fillId="0" borderId="0" xfId="1" applyNumberFormat="1" applyFont="1" applyAlignment="1"/>
    <xf numFmtId="164" fontId="6" fillId="0" borderId="1" xfId="2" applyFont="1" applyFill="1" applyBorder="1" applyAlignment="1">
      <alignment horizontal="right" vertical="center" wrapText="1"/>
    </xf>
    <xf numFmtId="37" fontId="6" fillId="0" borderId="1" xfId="2" applyNumberFormat="1" applyFont="1" applyFill="1" applyBorder="1" applyAlignment="1">
      <alignment horizontal="right" vertical="center" wrapText="1"/>
    </xf>
    <xf numFmtId="37" fontId="8" fillId="0" borderId="1" xfId="2" applyNumberFormat="1" applyFont="1" applyFill="1" applyBorder="1" applyAlignment="1">
      <alignment horizontal="right" vertical="center" wrapText="1"/>
    </xf>
    <xf numFmtId="37" fontId="6" fillId="3" borderId="1" xfId="2" applyNumberFormat="1" applyFont="1" applyFill="1" applyBorder="1" applyAlignment="1">
      <alignment horizontal="right" vertical="center"/>
    </xf>
    <xf numFmtId="169" fontId="17" fillId="0" borderId="0" xfId="1" applyNumberFormat="1" applyFont="1" applyFill="1" applyAlignment="1">
      <alignment horizontal="left"/>
    </xf>
    <xf numFmtId="169" fontId="17" fillId="0" borderId="0" xfId="0" applyNumberFormat="1" applyFont="1" applyFill="1" applyAlignment="1">
      <alignment horizontal="left"/>
    </xf>
    <xf numFmtId="3" fontId="6" fillId="0" borderId="0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left"/>
    </xf>
    <xf numFmtId="164" fontId="0" fillId="0" borderId="0" xfId="0" applyNumberFormat="1">
      <alignment vertical="center"/>
    </xf>
    <xf numFmtId="169" fontId="0" fillId="0" borderId="0" xfId="1" applyNumberFormat="1" applyFont="1" applyFill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Fill="1" applyAlignment="1">
      <alignment horizontal="left"/>
    </xf>
    <xf numFmtId="169" fontId="0" fillId="3" borderId="0" xfId="1" applyNumberFormat="1" applyFont="1" applyFill="1" applyAlignment="1">
      <alignment vertical="center"/>
    </xf>
    <xf numFmtId="0" fontId="6" fillId="0" borderId="1" xfId="0" quotePrefix="1" applyFont="1" applyFill="1" applyBorder="1" applyAlignment="1">
      <alignment horizontal="center" vertical="center"/>
    </xf>
    <xf numFmtId="164" fontId="2" fillId="0" borderId="1" xfId="2" quotePrefix="1" applyFont="1" applyFill="1" applyBorder="1" applyAlignment="1">
      <alignment horizontal="center" vertical="center"/>
    </xf>
    <xf numFmtId="164" fontId="0" fillId="0" borderId="0" xfId="2" quotePrefix="1" applyFont="1" applyAlignment="1">
      <alignment vertical="center"/>
    </xf>
    <xf numFmtId="164" fontId="21" fillId="5" borderId="1" xfId="2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/>
    </xf>
    <xf numFmtId="3" fontId="20" fillId="3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7" borderId="0" xfId="3" applyFont="1" applyFill="1" applyAlignment="1" applyProtection="1">
      <alignment horizontal="right" vertical="center"/>
    </xf>
    <xf numFmtId="0" fontId="6" fillId="0" borderId="0" xfId="0" applyFont="1" applyFill="1" applyAlignment="1">
      <alignment horizontal="left" vertical="top" wrapText="1"/>
    </xf>
    <xf numFmtId="0" fontId="10" fillId="6" borderId="0" xfId="3" applyFont="1" applyFill="1" applyAlignment="1" applyProtection="1">
      <alignment horizontal="right" vertical="center"/>
    </xf>
    <xf numFmtId="167" fontId="5" fillId="0" borderId="2" xfId="0" applyNumberFormat="1" applyFont="1" applyBorder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22" fontId="16" fillId="0" borderId="3" xfId="0" applyNumberFormat="1" applyFont="1" applyBorder="1" applyAlignment="1">
      <alignment horizontal="center" vertical="center"/>
    </xf>
    <xf numFmtId="164" fontId="6" fillId="4" borderId="0" xfId="2" applyFont="1" applyFill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4" fontId="24" fillId="0" borderId="1" xfId="2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 wrapText="1"/>
    </xf>
    <xf numFmtId="164" fontId="21" fillId="0" borderId="1" xfId="2" applyFont="1" applyFill="1" applyBorder="1" applyAlignment="1">
      <alignment horizontal="right" vertical="center" wrapText="1"/>
    </xf>
    <xf numFmtId="0" fontId="22" fillId="0" borderId="0" xfId="0" applyFont="1" applyFill="1">
      <alignment vertical="center"/>
    </xf>
    <xf numFmtId="0" fontId="6" fillId="0" borderId="1" xfId="0" applyFont="1" applyFill="1" applyBorder="1" applyAlignment="1">
      <alignment horizontal="right" vertical="center" wrapText="1"/>
    </xf>
    <xf numFmtId="0" fontId="4" fillId="8" borderId="0" xfId="0" applyFont="1" applyFill="1" applyAlignment="1"/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164" fontId="24" fillId="8" borderId="1" xfId="2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right" vertical="center"/>
    </xf>
    <xf numFmtId="164" fontId="21" fillId="8" borderId="1" xfId="2" applyFont="1" applyFill="1" applyBorder="1" applyAlignment="1">
      <alignment horizontal="right" vertical="center" wrapText="1"/>
    </xf>
    <xf numFmtId="164" fontId="6" fillId="8" borderId="1" xfId="2" applyFont="1" applyFill="1" applyBorder="1" applyAlignment="1">
      <alignment horizontal="right" vertical="center" wrapText="1"/>
    </xf>
    <xf numFmtId="164" fontId="8" fillId="8" borderId="1" xfId="2" applyFont="1" applyFill="1" applyBorder="1" applyAlignment="1">
      <alignment horizontal="right" vertical="center" wrapText="1"/>
    </xf>
    <xf numFmtId="37" fontId="6" fillId="8" borderId="1" xfId="2" applyNumberFormat="1" applyFont="1" applyFill="1" applyBorder="1" applyAlignment="1">
      <alignment horizontal="right" vertical="center" wrapText="1"/>
    </xf>
    <xf numFmtId="0" fontId="0" fillId="8" borderId="0" xfId="0" applyFill="1">
      <alignment vertical="center"/>
    </xf>
    <xf numFmtId="0" fontId="6" fillId="8" borderId="1" xfId="0" applyFont="1" applyFill="1" applyBorder="1" applyAlignment="1">
      <alignment horizontal="right" vertical="center"/>
    </xf>
    <xf numFmtId="169" fontId="0" fillId="8" borderId="0" xfId="1" applyNumberFormat="1" applyFont="1" applyFill="1" applyAlignment="1">
      <alignment vertical="center"/>
    </xf>
    <xf numFmtId="0" fontId="6" fillId="8" borderId="0" xfId="0" applyFont="1" applyFill="1" applyAlignment="1">
      <alignment horizontal="left"/>
    </xf>
  </cellXfs>
  <cellStyles count="6">
    <cellStyle name="Comma" xfId="1" builtinId="3"/>
    <cellStyle name="Comma [0]" xfId="2" builtinId="6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O46"/>
  <sheetViews>
    <sheetView showGridLines="0" tabSelected="1" topLeftCell="A4" zoomScale="70" zoomScaleNormal="70" zoomScaleSheetLayoutView="70" workbookViewId="0">
      <selection activeCell="J41" sqref="J41"/>
    </sheetView>
  </sheetViews>
  <sheetFormatPr defaultColWidth="10" defaultRowHeight="15"/>
  <cols>
    <col min="2" max="2" width="4.7109375" customWidth="1"/>
    <col min="3" max="3" width="15.140625" customWidth="1"/>
    <col min="4" max="4" width="13.28515625" customWidth="1"/>
    <col min="5" max="5" width="25.5703125" customWidth="1"/>
    <col min="6" max="6" width="12.85546875" customWidth="1"/>
    <col min="7" max="7" width="8.42578125" customWidth="1"/>
    <col min="8" max="8" width="11.85546875" customWidth="1"/>
    <col min="9" max="9" width="11.140625" customWidth="1"/>
    <col min="10" max="10" width="14.140625" customWidth="1"/>
    <col min="15" max="15" width="9.85546875" customWidth="1"/>
    <col min="16" max="16" width="13.28515625" customWidth="1"/>
    <col min="17" max="17" width="15.42578125" customWidth="1"/>
    <col min="18" max="18" width="13.28515625" customWidth="1"/>
    <col min="19" max="19" width="14.42578125" customWidth="1"/>
    <col min="20" max="21" width="13.28515625" customWidth="1"/>
    <col min="22" max="22" width="12.7109375" customWidth="1"/>
    <col min="23" max="23" width="13.28515625" customWidth="1"/>
    <col min="24" max="24" width="14.42578125" customWidth="1"/>
    <col min="25" max="25" width="16.5703125" customWidth="1"/>
    <col min="26" max="26" width="4.85546875" customWidth="1"/>
    <col min="27" max="27" width="3.7109375" customWidth="1"/>
    <col min="28" max="28" width="5.5703125" customWidth="1"/>
    <col min="29" max="29" width="3.28515625" customWidth="1"/>
    <col min="33" max="33" width="10.140625" customWidth="1"/>
    <col min="37" max="37" width="15.85546875" customWidth="1"/>
    <col min="38" max="38" width="13" customWidth="1"/>
    <col min="40" max="40" width="10.85546875" customWidth="1"/>
    <col min="42" max="42" width="14.28515625" customWidth="1"/>
  </cols>
  <sheetData>
    <row r="1" spans="1:41" ht="15.75"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41" ht="26.25">
      <c r="A2" s="34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41" ht="26.25">
      <c r="A3" s="34"/>
      <c r="B3" s="111">
        <v>45658</v>
      </c>
      <c r="C3" s="111"/>
      <c r="D3" s="111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41" ht="45">
      <c r="A4" s="34"/>
      <c r="B4" s="36" t="s">
        <v>1</v>
      </c>
      <c r="C4" s="36" t="s">
        <v>2</v>
      </c>
      <c r="D4" s="37" t="s">
        <v>3</v>
      </c>
      <c r="E4" s="36" t="s">
        <v>4</v>
      </c>
      <c r="F4" s="36" t="s">
        <v>5</v>
      </c>
      <c r="G4" s="36" t="s">
        <v>6</v>
      </c>
      <c r="H4" s="36" t="s">
        <v>7</v>
      </c>
      <c r="I4" s="36" t="s">
        <v>8</v>
      </c>
      <c r="J4" s="36" t="s">
        <v>9</v>
      </c>
      <c r="K4" s="36" t="s">
        <v>10</v>
      </c>
      <c r="L4" s="36" t="s">
        <v>11</v>
      </c>
      <c r="M4" s="36" t="s">
        <v>12</v>
      </c>
      <c r="N4" s="36" t="s">
        <v>13</v>
      </c>
      <c r="O4" s="36" t="s">
        <v>14</v>
      </c>
      <c r="P4" s="36" t="s">
        <v>15</v>
      </c>
      <c r="Q4" s="36" t="s">
        <v>16</v>
      </c>
      <c r="R4" s="36" t="s">
        <v>4</v>
      </c>
      <c r="S4" s="36" t="s">
        <v>5</v>
      </c>
      <c r="T4" s="36" t="s">
        <v>6</v>
      </c>
      <c r="U4" s="36" t="s">
        <v>17</v>
      </c>
      <c r="V4" s="36" t="s">
        <v>18</v>
      </c>
      <c r="W4" s="36" t="s">
        <v>19</v>
      </c>
      <c r="X4" s="36" t="s">
        <v>20</v>
      </c>
      <c r="Y4" s="36" t="s">
        <v>21</v>
      </c>
      <c r="AD4" s="90" t="s">
        <v>21</v>
      </c>
      <c r="AE4" s="91" t="s">
        <v>22</v>
      </c>
      <c r="AF4" s="91" t="s">
        <v>23</v>
      </c>
      <c r="AG4" s="36" t="s">
        <v>21</v>
      </c>
      <c r="AH4" s="112" t="s">
        <v>22</v>
      </c>
      <c r="AI4" s="113"/>
      <c r="AK4" s="1" t="s">
        <v>24</v>
      </c>
    </row>
    <row r="5" spans="1:41" s="32" customFormat="1" ht="26.1" customHeight="1">
      <c r="A5" s="38"/>
      <c r="B5" s="39">
        <v>1</v>
      </c>
      <c r="C5" s="121" t="s">
        <v>25</v>
      </c>
      <c r="D5" s="121" t="s">
        <v>26</v>
      </c>
      <c r="E5" s="39" t="s">
        <v>87</v>
      </c>
      <c r="F5" s="39"/>
      <c r="G5" s="39"/>
      <c r="H5" s="39"/>
      <c r="I5" s="122" t="s">
        <v>37</v>
      </c>
      <c r="J5" s="39">
        <v>1</v>
      </c>
      <c r="K5" s="39"/>
      <c r="L5" s="123">
        <v>131</v>
      </c>
      <c r="M5" s="123">
        <v>5</v>
      </c>
      <c r="N5" s="123">
        <v>18</v>
      </c>
      <c r="O5" s="123"/>
      <c r="P5" s="124">
        <f t="shared" ref="P5:P17" si="0">SUM(L5:O5)</f>
        <v>154</v>
      </c>
      <c r="Q5" s="83">
        <f>((data!$A$3/8)*L5)+((data!$B$3/8)*(M5+N5+O5))+(P5*$E$24)</f>
        <v>670875</v>
      </c>
      <c r="R5" s="83">
        <f t="shared" ref="R5:R15" si="1">IF(D5="Percobaan",0,IF(AND(E5="",G5&gt;0,H5="ok"),100000,IF(AND(E5="",G5&gt;0,H5=""),50000,IF(AND(E5=""),100000,0))))</f>
        <v>0</v>
      </c>
      <c r="S5" s="83">
        <f t="shared" ref="S5:S15" si="2">((P5/8)*1000)</f>
        <v>19250</v>
      </c>
      <c r="T5" s="73">
        <f t="shared" ref="T5:T15" si="3">IF(AND(G5&gt;0,H5=""),50000,IF(AND(G5&gt;0,H5="ok"),G5*50000,0))</f>
        <v>0</v>
      </c>
      <c r="U5" s="83">
        <f t="shared" ref="U5:U15" si="4">IF(OR(D5="Percobaan",D5=""),0,IF(I5="+",P5/8*3000,IF(I5="-",0,P5/8*2000)))</f>
        <v>0</v>
      </c>
      <c r="V5" s="84">
        <f t="shared" ref="V5:V8" si="5">J5*-12500</f>
        <v>-12500</v>
      </c>
      <c r="W5" s="83">
        <f>IF(K5="ok",50000+AA5,0+AA5)</f>
        <v>0</v>
      </c>
      <c r="X5" s="83"/>
      <c r="Y5" s="83">
        <f t="shared" ref="Y5:Y17" si="6">CEILING(SUM(Q5:X5),500)</f>
        <v>678000</v>
      </c>
      <c r="AD5" s="32">
        <f t="shared" ref="AD5:AD16" si="7">P5/8</f>
        <v>19.25</v>
      </c>
      <c r="AF5" s="32">
        <f t="shared" ref="AF5:AF12" si="8">AD5-AE5</f>
        <v>19.25</v>
      </c>
      <c r="AG5" s="32">
        <f>AD5+AI5</f>
        <v>30.25</v>
      </c>
      <c r="AH5" s="126">
        <v>88</v>
      </c>
      <c r="AI5" s="32">
        <f>AH5/8</f>
        <v>11</v>
      </c>
      <c r="AK5" s="94">
        <v>1037500</v>
      </c>
      <c r="AL5" s="32" t="str">
        <f t="shared" ref="AL5:AL17" si="9">C5</f>
        <v>Alfred</v>
      </c>
      <c r="AN5" s="55"/>
      <c r="AO5" s="32">
        <f>AN5*AM5</f>
        <v>0</v>
      </c>
    </row>
    <row r="6" spans="1:41" s="32" customFormat="1" ht="26.1" customHeight="1">
      <c r="A6" s="38"/>
      <c r="B6" s="39">
        <v>2</v>
      </c>
      <c r="C6" s="121" t="s">
        <v>73</v>
      </c>
      <c r="D6" s="121" t="s">
        <v>26</v>
      </c>
      <c r="E6" s="39"/>
      <c r="F6" s="39"/>
      <c r="G6" s="39"/>
      <c r="H6" s="39"/>
      <c r="I6" s="122"/>
      <c r="J6" s="39"/>
      <c r="K6" s="39"/>
      <c r="L6" s="123">
        <v>10</v>
      </c>
      <c r="M6" s="123"/>
      <c r="N6" s="123">
        <v>48</v>
      </c>
      <c r="O6" s="123"/>
      <c r="P6" s="124">
        <f t="shared" si="0"/>
        <v>58</v>
      </c>
      <c r="Q6" s="83">
        <f>((data!$A$3/8)*L6)+((data!$B$3/8)*(M6+N6+O6))+(P6*$E$24)</f>
        <v>247750</v>
      </c>
      <c r="R6" s="83">
        <f t="shared" si="1"/>
        <v>0</v>
      </c>
      <c r="S6" s="83">
        <f t="shared" si="2"/>
        <v>7250</v>
      </c>
      <c r="T6" s="73">
        <f t="shared" si="3"/>
        <v>0</v>
      </c>
      <c r="U6" s="83">
        <f t="shared" si="4"/>
        <v>0</v>
      </c>
      <c r="V6" s="84"/>
      <c r="W6" s="83">
        <v>90000</v>
      </c>
      <c r="X6" s="83"/>
      <c r="Y6" s="83">
        <f t="shared" si="6"/>
        <v>345000</v>
      </c>
      <c r="AD6" s="32">
        <f t="shared" si="7"/>
        <v>7.25</v>
      </c>
      <c r="AH6" s="126"/>
      <c r="AI6" s="32">
        <f>AH6/8</f>
        <v>0</v>
      </c>
      <c r="AK6" s="94"/>
      <c r="AN6" s="55"/>
    </row>
    <row r="7" spans="1:41" s="32" customFormat="1" ht="26.1" customHeight="1">
      <c r="A7" s="38"/>
      <c r="B7" s="39">
        <v>3</v>
      </c>
      <c r="C7" s="45" t="s">
        <v>27</v>
      </c>
      <c r="D7" s="121" t="s">
        <v>3</v>
      </c>
      <c r="E7" s="71" t="s">
        <v>51</v>
      </c>
      <c r="F7" s="71" t="s">
        <v>74</v>
      </c>
      <c r="G7" s="71">
        <v>1</v>
      </c>
      <c r="H7" s="71"/>
      <c r="I7" s="122" t="s">
        <v>53</v>
      </c>
      <c r="J7" s="39">
        <v>1</v>
      </c>
      <c r="K7" s="71"/>
      <c r="L7" s="123">
        <v>67</v>
      </c>
      <c r="M7" s="123">
        <v>40</v>
      </c>
      <c r="N7" s="123">
        <v>127</v>
      </c>
      <c r="O7" s="103"/>
      <c r="P7" s="124">
        <f t="shared" si="0"/>
        <v>234</v>
      </c>
      <c r="Q7" s="83">
        <f>((data!$A$3/8)*L7)+((data!$B$3/8)*(M7+N7+O7))+(P7*$E$24)</f>
        <v>1002875</v>
      </c>
      <c r="R7" s="83">
        <f t="shared" si="1"/>
        <v>0</v>
      </c>
      <c r="S7" s="83"/>
      <c r="T7" s="73">
        <f t="shared" si="3"/>
        <v>50000</v>
      </c>
      <c r="U7" s="83">
        <f t="shared" si="4"/>
        <v>87750</v>
      </c>
      <c r="V7" s="84">
        <f t="shared" si="5"/>
        <v>-12500</v>
      </c>
      <c r="W7" s="83">
        <f>IF(K7="ok",50000+AA7,0+AA7)</f>
        <v>0</v>
      </c>
      <c r="X7" s="83"/>
      <c r="Y7" s="83">
        <f t="shared" si="6"/>
        <v>1128500</v>
      </c>
      <c r="AD7" s="32">
        <f t="shared" si="7"/>
        <v>29.25</v>
      </c>
      <c r="AF7" s="32">
        <f t="shared" si="8"/>
        <v>29.25</v>
      </c>
      <c r="AG7" s="32">
        <f t="shared" ref="AG7:AG15" si="10">AD7+AI7</f>
        <v>29.25</v>
      </c>
      <c r="AH7" s="72"/>
      <c r="AI7" s="32">
        <f t="shared" ref="AI7:AI15" si="11">AH7/8</f>
        <v>0</v>
      </c>
      <c r="AK7" s="94">
        <v>834000</v>
      </c>
      <c r="AL7" s="32" t="str">
        <f t="shared" si="9"/>
        <v>Arif</v>
      </c>
      <c r="AN7" s="55"/>
      <c r="AO7" s="32">
        <f t="shared" ref="AO7:AO16" si="12">AN7*AM7</f>
        <v>0</v>
      </c>
    </row>
    <row r="8" spans="1:41" s="138" customFormat="1" ht="26.1" customHeight="1">
      <c r="A8" s="127"/>
      <c r="B8" s="128">
        <v>4</v>
      </c>
      <c r="C8" s="129" t="s">
        <v>28</v>
      </c>
      <c r="D8" s="130" t="s">
        <v>3</v>
      </c>
      <c r="E8" s="131"/>
      <c r="F8" s="131"/>
      <c r="G8" s="131"/>
      <c r="H8" s="131"/>
      <c r="I8" s="132" t="s">
        <v>53</v>
      </c>
      <c r="J8" s="128">
        <v>1</v>
      </c>
      <c r="K8" s="131" t="s">
        <v>31</v>
      </c>
      <c r="L8" s="133">
        <v>44</v>
      </c>
      <c r="M8" s="133">
        <v>36</v>
      </c>
      <c r="N8" s="133">
        <v>156</v>
      </c>
      <c r="O8" s="133">
        <v>16</v>
      </c>
      <c r="P8" s="134">
        <f t="shared" si="0"/>
        <v>252</v>
      </c>
      <c r="Q8" s="135">
        <f>((data!$A$3/8)*L8)+((data!$B$3/8)*(M8+N8+O8))+(P8*$E$24)</f>
        <v>1076500</v>
      </c>
      <c r="R8" s="135">
        <f t="shared" si="1"/>
        <v>100000</v>
      </c>
      <c r="S8" s="135">
        <f t="shared" ref="S8:S16" si="13">((P8/8)*1000)</f>
        <v>31500</v>
      </c>
      <c r="T8" s="136">
        <f t="shared" si="3"/>
        <v>0</v>
      </c>
      <c r="U8" s="135">
        <f t="shared" si="4"/>
        <v>94500</v>
      </c>
      <c r="V8" s="137">
        <f t="shared" si="5"/>
        <v>-12500</v>
      </c>
      <c r="W8" s="135">
        <f>IF(K8="ok",50000+AA8,0+AA8)</f>
        <v>50000</v>
      </c>
      <c r="X8" s="135"/>
      <c r="Y8" s="135">
        <f t="shared" si="6"/>
        <v>1340000</v>
      </c>
      <c r="AD8" s="138">
        <f t="shared" si="7"/>
        <v>31.5</v>
      </c>
      <c r="AF8" s="138">
        <f t="shared" si="8"/>
        <v>31.5</v>
      </c>
      <c r="AG8" s="138">
        <f t="shared" si="10"/>
        <v>34.5</v>
      </c>
      <c r="AH8" s="139">
        <v>24</v>
      </c>
      <c r="AI8" s="138">
        <f t="shared" si="11"/>
        <v>3</v>
      </c>
      <c r="AK8" s="140">
        <v>610500</v>
      </c>
      <c r="AL8" s="138" t="str">
        <f t="shared" si="9"/>
        <v>Gilang</v>
      </c>
      <c r="AN8" s="141"/>
      <c r="AO8" s="138">
        <f t="shared" si="12"/>
        <v>0</v>
      </c>
    </row>
    <row r="9" spans="1:41" s="32" customFormat="1" ht="26.1" customHeight="1">
      <c r="A9" s="38"/>
      <c r="B9" s="39">
        <v>5</v>
      </c>
      <c r="C9" s="121" t="s">
        <v>29</v>
      </c>
      <c r="D9" s="121" t="s">
        <v>26</v>
      </c>
      <c r="E9" s="39" t="s">
        <v>87</v>
      </c>
      <c r="F9" s="71"/>
      <c r="G9" s="71"/>
      <c r="H9" s="71"/>
      <c r="I9" s="122" t="s">
        <v>53</v>
      </c>
      <c r="J9" s="39">
        <v>1</v>
      </c>
      <c r="K9" s="71" t="s">
        <v>31</v>
      </c>
      <c r="L9" s="103">
        <v>34</v>
      </c>
      <c r="M9" s="103">
        <v>32</v>
      </c>
      <c r="N9" s="103">
        <v>154</v>
      </c>
      <c r="O9" s="103">
        <v>8</v>
      </c>
      <c r="P9" s="124">
        <f t="shared" si="0"/>
        <v>228</v>
      </c>
      <c r="Q9" s="83">
        <f>((data!$A$3/8)*L9)+((data!$B$3/8)*(M9+N9+O9))+(P9*$E$24)</f>
        <v>973250</v>
      </c>
      <c r="R9" s="83">
        <f t="shared" si="1"/>
        <v>0</v>
      </c>
      <c r="S9" s="83">
        <f t="shared" si="2"/>
        <v>28500</v>
      </c>
      <c r="T9" s="73">
        <f t="shared" si="3"/>
        <v>0</v>
      </c>
      <c r="U9" s="83">
        <f t="shared" si="4"/>
        <v>0</v>
      </c>
      <c r="V9" s="84">
        <f t="shared" ref="V9:V15" si="14">J9*-12500</f>
        <v>-12500</v>
      </c>
      <c r="W9" s="83">
        <f>IF(K9="ok",50000+AA9,0+AA9)</f>
        <v>50000</v>
      </c>
      <c r="X9" s="83"/>
      <c r="Y9" s="83">
        <f t="shared" si="6"/>
        <v>1039500</v>
      </c>
      <c r="AD9" s="32">
        <f t="shared" si="7"/>
        <v>28.5</v>
      </c>
      <c r="AF9" s="32">
        <f t="shared" si="8"/>
        <v>28.5</v>
      </c>
      <c r="AG9" s="32">
        <f t="shared" si="10"/>
        <v>28.5</v>
      </c>
      <c r="AH9" s="72"/>
      <c r="AI9" s="32">
        <f t="shared" si="11"/>
        <v>0</v>
      </c>
      <c r="AK9" s="94">
        <v>637500</v>
      </c>
      <c r="AL9" s="32" t="str">
        <f t="shared" si="9"/>
        <v>Hafis</v>
      </c>
      <c r="AN9" s="55"/>
      <c r="AO9" s="32">
        <f t="shared" si="12"/>
        <v>0</v>
      </c>
    </row>
    <row r="10" spans="1:41" s="32" customFormat="1" ht="26.1" customHeight="1">
      <c r="A10" s="38"/>
      <c r="B10" s="39">
        <v>6</v>
      </c>
      <c r="C10" s="121" t="s">
        <v>30</v>
      </c>
      <c r="D10" s="121" t="s">
        <v>3</v>
      </c>
      <c r="E10" s="39"/>
      <c r="F10" s="71" t="s">
        <v>74</v>
      </c>
      <c r="G10" s="71">
        <v>4</v>
      </c>
      <c r="H10" s="71" t="s">
        <v>31</v>
      </c>
      <c r="I10" s="122" t="s">
        <v>53</v>
      </c>
      <c r="J10" s="39">
        <v>1</v>
      </c>
      <c r="K10" s="71" t="s">
        <v>31</v>
      </c>
      <c r="L10" s="103"/>
      <c r="M10" s="125">
        <v>230</v>
      </c>
      <c r="N10" s="103"/>
      <c r="O10" s="103"/>
      <c r="P10" s="124">
        <f t="shared" si="0"/>
        <v>230</v>
      </c>
      <c r="Q10" s="83">
        <f>((data!$A$3/8)*L10)+((data!$B$3/8)*(M10+N10+O10))+(P10*$E$24)</f>
        <v>977500</v>
      </c>
      <c r="R10" s="83">
        <f t="shared" si="1"/>
        <v>100000</v>
      </c>
      <c r="S10" s="83"/>
      <c r="T10" s="73">
        <f t="shared" si="3"/>
        <v>200000</v>
      </c>
      <c r="U10" s="83">
        <f t="shared" si="4"/>
        <v>86250</v>
      </c>
      <c r="V10" s="84">
        <f t="shared" si="14"/>
        <v>-12500</v>
      </c>
      <c r="W10" s="83">
        <f t="shared" ref="W10:W17" si="15">IF(K10="ok",50000+AA10,0+AA10)</f>
        <v>50000</v>
      </c>
      <c r="X10" s="83"/>
      <c r="Y10" s="83">
        <f t="shared" si="6"/>
        <v>1401500</v>
      </c>
      <c r="AD10" s="32">
        <f t="shared" si="7"/>
        <v>28.75</v>
      </c>
      <c r="AF10" s="32">
        <f t="shared" si="8"/>
        <v>28.75</v>
      </c>
      <c r="AG10" s="32">
        <f t="shared" si="10"/>
        <v>30.75</v>
      </c>
      <c r="AH10" s="72">
        <v>16</v>
      </c>
      <c r="AI10" s="32">
        <f t="shared" si="11"/>
        <v>2</v>
      </c>
      <c r="AK10" s="94">
        <v>398500</v>
      </c>
      <c r="AL10" s="32" t="str">
        <f t="shared" si="9"/>
        <v>Henbediona</v>
      </c>
      <c r="AN10" s="55"/>
      <c r="AO10" s="32">
        <f t="shared" si="12"/>
        <v>0</v>
      </c>
    </row>
    <row r="11" spans="1:41" s="138" customFormat="1" ht="26.1" customHeight="1">
      <c r="A11" s="127"/>
      <c r="B11" s="128">
        <v>7</v>
      </c>
      <c r="C11" s="129" t="s">
        <v>32</v>
      </c>
      <c r="D11" s="130" t="s">
        <v>3</v>
      </c>
      <c r="E11" s="131"/>
      <c r="F11" s="131"/>
      <c r="G11" s="131">
        <v>3</v>
      </c>
      <c r="H11" s="131" t="s">
        <v>31</v>
      </c>
      <c r="I11" s="132"/>
      <c r="J11" s="128">
        <v>1</v>
      </c>
      <c r="K11" s="131"/>
      <c r="L11" s="133">
        <v>16</v>
      </c>
      <c r="M11" s="133">
        <v>36</v>
      </c>
      <c r="N11" s="133">
        <v>134</v>
      </c>
      <c r="O11" s="133">
        <v>24</v>
      </c>
      <c r="P11" s="134">
        <f t="shared" si="0"/>
        <v>210</v>
      </c>
      <c r="Q11" s="135">
        <f>((data!$A$3/8)*L11)+((data!$B$3/8)*(M11+N11+O11))+(P11*$E$24)</f>
        <v>894500</v>
      </c>
      <c r="R11" s="135">
        <f t="shared" si="1"/>
        <v>100000</v>
      </c>
      <c r="S11" s="135">
        <f t="shared" si="2"/>
        <v>26250</v>
      </c>
      <c r="T11" s="136">
        <f t="shared" si="3"/>
        <v>150000</v>
      </c>
      <c r="U11" s="135">
        <f t="shared" si="4"/>
        <v>52500</v>
      </c>
      <c r="V11" s="137">
        <f t="shared" si="14"/>
        <v>-12500</v>
      </c>
      <c r="W11" s="135">
        <f t="shared" si="15"/>
        <v>0</v>
      </c>
      <c r="X11" s="135"/>
      <c r="Y11" s="135">
        <f t="shared" si="6"/>
        <v>1211000</v>
      </c>
      <c r="AD11" s="138">
        <f t="shared" si="7"/>
        <v>26.25</v>
      </c>
      <c r="AF11" s="138">
        <f t="shared" si="8"/>
        <v>26.25</v>
      </c>
      <c r="AG11" s="138">
        <f t="shared" si="10"/>
        <v>26.25</v>
      </c>
      <c r="AH11" s="139"/>
      <c r="AI11" s="138">
        <f t="shared" si="11"/>
        <v>0</v>
      </c>
      <c r="AK11" s="140">
        <v>1281500</v>
      </c>
      <c r="AL11" s="138" t="str">
        <f t="shared" si="9"/>
        <v>Reza</v>
      </c>
      <c r="AN11" s="141"/>
      <c r="AO11" s="138">
        <f t="shared" si="12"/>
        <v>0</v>
      </c>
    </row>
    <row r="12" spans="1:41" s="32" customFormat="1" ht="26.1" customHeight="1">
      <c r="A12" s="38"/>
      <c r="B12" s="39">
        <v>8</v>
      </c>
      <c r="C12" s="45" t="s">
        <v>33</v>
      </c>
      <c r="D12" s="121" t="s">
        <v>3</v>
      </c>
      <c r="E12" s="39"/>
      <c r="F12" s="71"/>
      <c r="G12" s="71">
        <v>2</v>
      </c>
      <c r="H12" s="71" t="s">
        <v>31</v>
      </c>
      <c r="I12" s="122" t="s">
        <v>53</v>
      </c>
      <c r="J12" s="39">
        <v>1</v>
      </c>
      <c r="K12" s="71" t="s">
        <v>31</v>
      </c>
      <c r="L12" s="103">
        <v>240</v>
      </c>
      <c r="M12" s="103">
        <v>6</v>
      </c>
      <c r="N12" s="103"/>
      <c r="O12" s="103"/>
      <c r="P12" s="124">
        <f t="shared" si="0"/>
        <v>246</v>
      </c>
      <c r="Q12" s="83">
        <f>((data!$A$3/8)*L12)+((data!$B$3/8)*(M12+N12+O12))+(P12*$E$24)</f>
        <v>1075500</v>
      </c>
      <c r="R12" s="83">
        <f t="shared" si="1"/>
        <v>100000</v>
      </c>
      <c r="S12" s="83">
        <f t="shared" si="13"/>
        <v>30750</v>
      </c>
      <c r="T12" s="73">
        <f t="shared" si="3"/>
        <v>100000</v>
      </c>
      <c r="U12" s="83">
        <f t="shared" si="4"/>
        <v>92250</v>
      </c>
      <c r="V12" s="84">
        <f t="shared" si="14"/>
        <v>-12500</v>
      </c>
      <c r="W12" s="83">
        <f t="shared" si="15"/>
        <v>50000</v>
      </c>
      <c r="X12" s="83"/>
      <c r="Y12" s="83">
        <f t="shared" si="6"/>
        <v>1436000</v>
      </c>
      <c r="AD12" s="32">
        <f t="shared" si="7"/>
        <v>30.75</v>
      </c>
      <c r="AF12" s="32">
        <f t="shared" si="8"/>
        <v>30.75</v>
      </c>
      <c r="AG12" s="32">
        <f t="shared" si="10"/>
        <v>35.75</v>
      </c>
      <c r="AH12" s="70">
        <v>40</v>
      </c>
      <c r="AI12" s="32">
        <f t="shared" si="11"/>
        <v>5</v>
      </c>
      <c r="AK12" s="94">
        <v>1120500</v>
      </c>
      <c r="AL12" s="32" t="str">
        <f t="shared" si="9"/>
        <v>riniroma</v>
      </c>
      <c r="AN12" s="55"/>
      <c r="AO12" s="32">
        <f t="shared" si="12"/>
        <v>0</v>
      </c>
    </row>
    <row r="13" spans="1:41" s="33" customFormat="1" ht="26.1" customHeight="1">
      <c r="A13" s="40"/>
      <c r="B13" s="39">
        <v>9</v>
      </c>
      <c r="C13" s="45" t="s">
        <v>34</v>
      </c>
      <c r="D13" s="121" t="s">
        <v>26</v>
      </c>
      <c r="E13" s="39" t="s">
        <v>87</v>
      </c>
      <c r="F13" s="71" t="s">
        <v>74</v>
      </c>
      <c r="G13" s="71"/>
      <c r="H13" s="71"/>
      <c r="I13" s="122" t="s">
        <v>53</v>
      </c>
      <c r="J13" s="39">
        <v>1</v>
      </c>
      <c r="K13" s="71"/>
      <c r="L13" s="125">
        <v>216</v>
      </c>
      <c r="M13" s="103">
        <v>5</v>
      </c>
      <c r="N13" s="103"/>
      <c r="O13" s="103"/>
      <c r="P13" s="124">
        <f t="shared" si="0"/>
        <v>221</v>
      </c>
      <c r="Q13" s="83">
        <f>((data!$A$3/8)*L13)+((data!$B$3/8)*(M13+N13+O13))+(P13*$E$24)</f>
        <v>966250</v>
      </c>
      <c r="R13" s="83">
        <f t="shared" si="1"/>
        <v>0</v>
      </c>
      <c r="S13" s="83"/>
      <c r="T13" s="73">
        <f t="shared" si="3"/>
        <v>0</v>
      </c>
      <c r="U13" s="83">
        <f t="shared" si="4"/>
        <v>0</v>
      </c>
      <c r="V13" s="85">
        <f t="shared" si="14"/>
        <v>-12500</v>
      </c>
      <c r="W13" s="73">
        <f t="shared" si="15"/>
        <v>0</v>
      </c>
      <c r="X13" s="73"/>
      <c r="Y13" s="73">
        <f t="shared" si="6"/>
        <v>954000</v>
      </c>
      <c r="AD13" s="33">
        <f t="shared" si="7"/>
        <v>27.625</v>
      </c>
      <c r="AE13" s="32"/>
      <c r="AF13" s="33">
        <f t="shared" ref="AF13:AF15" si="16">AD13-AE13</f>
        <v>27.625</v>
      </c>
      <c r="AG13" s="32">
        <f t="shared" si="10"/>
        <v>27.625</v>
      </c>
      <c r="AH13" s="96"/>
      <c r="AI13" s="32">
        <f t="shared" si="11"/>
        <v>0</v>
      </c>
      <c r="AK13" s="94">
        <v>1195000</v>
      </c>
      <c r="AL13" s="33" t="str">
        <f t="shared" si="9"/>
        <v>Ridwan</v>
      </c>
      <c r="AN13" s="97"/>
      <c r="AO13" s="33">
        <f t="shared" si="12"/>
        <v>0</v>
      </c>
    </row>
    <row r="14" spans="1:41" s="32" customFormat="1" ht="26.1" customHeight="1">
      <c r="A14" s="38"/>
      <c r="B14" s="39">
        <v>10</v>
      </c>
      <c r="C14" s="45" t="s">
        <v>35</v>
      </c>
      <c r="D14" s="121" t="s">
        <v>3</v>
      </c>
      <c r="E14" s="39"/>
      <c r="F14" s="71"/>
      <c r="G14" s="71">
        <v>1</v>
      </c>
      <c r="H14" s="71"/>
      <c r="I14" s="122" t="s">
        <v>53</v>
      </c>
      <c r="J14" s="39">
        <v>1</v>
      </c>
      <c r="K14" s="71"/>
      <c r="L14" s="103"/>
      <c r="M14" s="103">
        <v>150</v>
      </c>
      <c r="N14" s="103">
        <v>73</v>
      </c>
      <c r="O14" s="103"/>
      <c r="P14" s="124">
        <f t="shared" si="0"/>
        <v>223</v>
      </c>
      <c r="Q14" s="83">
        <f>((data!$A$3/8)*L14)+((data!$B$3/8)*(M14+N14+O14))+(P14*$E$24)</f>
        <v>947750</v>
      </c>
      <c r="R14" s="83">
        <f t="shared" si="1"/>
        <v>50000</v>
      </c>
      <c r="S14" s="83">
        <f t="shared" si="2"/>
        <v>27875</v>
      </c>
      <c r="T14" s="73">
        <f t="shared" si="3"/>
        <v>50000</v>
      </c>
      <c r="U14" s="83">
        <f t="shared" si="4"/>
        <v>83625</v>
      </c>
      <c r="V14" s="84">
        <f t="shared" si="14"/>
        <v>-12500</v>
      </c>
      <c r="W14" s="73">
        <f t="shared" si="15"/>
        <v>0</v>
      </c>
      <c r="X14" s="83"/>
      <c r="Y14" s="83">
        <f t="shared" si="6"/>
        <v>1147000</v>
      </c>
      <c r="AD14" s="32">
        <f t="shared" si="7"/>
        <v>27.875</v>
      </c>
      <c r="AF14" s="32">
        <f t="shared" si="16"/>
        <v>27.875</v>
      </c>
      <c r="AG14" s="32">
        <f t="shared" si="10"/>
        <v>27.875</v>
      </c>
      <c r="AH14" s="95"/>
      <c r="AI14" s="32">
        <f t="shared" si="11"/>
        <v>0</v>
      </c>
      <c r="AK14" s="94">
        <v>969000</v>
      </c>
      <c r="AL14" s="32" t="str">
        <f t="shared" si="9"/>
        <v>Ronald</v>
      </c>
      <c r="AN14" s="55"/>
      <c r="AO14" s="32">
        <f t="shared" si="12"/>
        <v>0</v>
      </c>
    </row>
    <row r="15" spans="1:41" s="32" customFormat="1" ht="26.1" customHeight="1">
      <c r="A15" s="38"/>
      <c r="B15" s="39">
        <v>11</v>
      </c>
      <c r="C15" s="45" t="s">
        <v>36</v>
      </c>
      <c r="D15" s="121" t="s">
        <v>3</v>
      </c>
      <c r="E15" s="39" t="s">
        <v>87</v>
      </c>
      <c r="F15" s="71"/>
      <c r="G15" s="71"/>
      <c r="H15" s="71"/>
      <c r="I15" s="122" t="s">
        <v>53</v>
      </c>
      <c r="J15" s="39">
        <v>1</v>
      </c>
      <c r="K15" s="71"/>
      <c r="L15" s="103">
        <v>2</v>
      </c>
      <c r="M15" s="103">
        <v>204</v>
      </c>
      <c r="N15" s="103">
        <v>18</v>
      </c>
      <c r="O15" s="103"/>
      <c r="P15" s="124">
        <f t="shared" si="0"/>
        <v>224</v>
      </c>
      <c r="Q15" s="83">
        <f>((data!$A$3/8)*L15)+((data!$B$3/8)*(M15+N15+O15))+(P15*$E$24)</f>
        <v>952250</v>
      </c>
      <c r="R15" s="83">
        <f t="shared" si="1"/>
        <v>0</v>
      </c>
      <c r="S15" s="83">
        <f t="shared" si="2"/>
        <v>28000</v>
      </c>
      <c r="T15" s="73">
        <f t="shared" si="3"/>
        <v>0</v>
      </c>
      <c r="U15" s="83">
        <f t="shared" si="4"/>
        <v>84000</v>
      </c>
      <c r="V15" s="84">
        <f t="shared" si="14"/>
        <v>-12500</v>
      </c>
      <c r="W15" s="73">
        <f t="shared" si="15"/>
        <v>0</v>
      </c>
      <c r="X15" s="83"/>
      <c r="Y15" s="83">
        <f t="shared" si="6"/>
        <v>1052000</v>
      </c>
      <c r="AD15" s="32">
        <f t="shared" si="7"/>
        <v>28</v>
      </c>
      <c r="AF15" s="32">
        <f t="shared" si="16"/>
        <v>28</v>
      </c>
      <c r="AG15" s="32">
        <f t="shared" si="10"/>
        <v>28</v>
      </c>
      <c r="AH15" s="70"/>
      <c r="AI15" s="32">
        <f t="shared" si="11"/>
        <v>0</v>
      </c>
      <c r="AK15" s="94">
        <v>756500</v>
      </c>
      <c r="AL15" s="32" t="str">
        <f t="shared" si="9"/>
        <v>Yulika</v>
      </c>
      <c r="AN15" s="55"/>
      <c r="AO15" s="32">
        <f t="shared" si="12"/>
        <v>0</v>
      </c>
    </row>
    <row r="16" spans="1:41" s="32" customFormat="1" ht="26.1" hidden="1" customHeight="1">
      <c r="A16" s="38"/>
      <c r="B16" s="39">
        <v>13</v>
      </c>
      <c r="C16" s="41"/>
      <c r="D16" s="42"/>
      <c r="E16" s="43"/>
      <c r="F16" s="44"/>
      <c r="G16" s="44"/>
      <c r="H16" s="44"/>
      <c r="I16" s="71"/>
      <c r="J16" s="44"/>
      <c r="K16" s="44"/>
      <c r="L16" s="103"/>
      <c r="M16" s="104"/>
      <c r="N16" s="104"/>
      <c r="O16" s="104"/>
      <c r="P16" s="102">
        <f t="shared" si="0"/>
        <v>0</v>
      </c>
      <c r="Q16" s="83">
        <f>((data!$A$3/8)*L16)+((data!$B$3/8)*(M16+N16+O16))+(P16*$E$24)</f>
        <v>0</v>
      </c>
      <c r="R16" s="83">
        <f t="shared" ref="R16" si="17">IF(D16="Percobaan",0,IF(AND(E16="",G16&gt;0,H16="ok"),100000,IF(AND(E16="",G16&gt;0,H16=""),50000,IF(AND(E16=""),100000,0))))</f>
        <v>100000</v>
      </c>
      <c r="S16" s="83">
        <f t="shared" si="13"/>
        <v>0</v>
      </c>
      <c r="T16" s="83">
        <f t="shared" ref="T16" si="18">IF(AND(G16&gt;0,H16=""),50000,IF(AND(G16&gt;0,H16="ok"),G16*50000,0))</f>
        <v>0</v>
      </c>
      <c r="U16" s="83">
        <f t="shared" ref="U16" si="19">IF(OR(D16="Percobaan",D16=""),0,IF(I16="+",P16/8*3000,IF(I16="-",0,P16/8*2000)))</f>
        <v>0</v>
      </c>
      <c r="V16" s="84">
        <f t="shared" ref="V16" si="20">J16*-12500</f>
        <v>0</v>
      </c>
      <c r="W16" s="83">
        <f t="shared" si="15"/>
        <v>0</v>
      </c>
      <c r="X16" s="83"/>
      <c r="Y16" s="83">
        <f t="shared" si="6"/>
        <v>100000</v>
      </c>
      <c r="AD16" s="32">
        <f t="shared" si="7"/>
        <v>0</v>
      </c>
      <c r="AE16" s="32">
        <f t="shared" ref="AE16:AE17" si="21">AD16+AI16</f>
        <v>0</v>
      </c>
      <c r="AF16" s="32">
        <f t="shared" ref="AF16" si="22">AD16-AE16</f>
        <v>0</v>
      </c>
      <c r="AK16" s="94">
        <v>0</v>
      </c>
      <c r="AL16" s="32">
        <f t="shared" si="9"/>
        <v>0</v>
      </c>
      <c r="AN16" s="55"/>
      <c r="AO16" s="32">
        <f t="shared" si="12"/>
        <v>0</v>
      </c>
    </row>
    <row r="17" spans="1:38" s="32" customFormat="1" ht="26.1" hidden="1" customHeight="1">
      <c r="A17" s="38"/>
      <c r="B17" s="39">
        <v>14</v>
      </c>
      <c r="C17" s="45"/>
      <c r="D17" s="42"/>
      <c r="E17" s="39">
        <v>0</v>
      </c>
      <c r="F17" s="46"/>
      <c r="G17" s="46"/>
      <c r="H17" s="46"/>
      <c r="I17" s="99" t="s">
        <v>37</v>
      </c>
      <c r="J17" s="46"/>
      <c r="K17" s="46"/>
      <c r="L17" s="103"/>
      <c r="M17" s="103"/>
      <c r="N17" s="103"/>
      <c r="O17" s="103"/>
      <c r="P17" s="102">
        <f t="shared" si="0"/>
        <v>0</v>
      </c>
      <c r="Q17" s="83">
        <f>((data!$A$3/8)*L17)+((data!$B$3/8)*(M17+N17+O17))+(P17*$E$24)</f>
        <v>0</v>
      </c>
      <c r="R17" s="83">
        <f t="shared" ref="R17" si="23">IF(D17="Percobaan",0,IF(AND(E17="",G17&gt;0,H17="ok"),100000,IF(AND(E17="",G17&gt;0,H17=""),50000,IF(AND(E17=""),100000,0))))</f>
        <v>0</v>
      </c>
      <c r="S17" s="83">
        <v>0</v>
      </c>
      <c r="T17" s="83">
        <f t="shared" ref="T17" si="24">IF(AND(G17&gt;0,H17=""),50000,IF(AND(G17&gt;0,H17="ok"),G17*50000,0))</f>
        <v>0</v>
      </c>
      <c r="U17" s="83">
        <f t="shared" ref="U17" si="25">IF(OR(D17="Percobaan",D17=""),0,IF(I17="+",P17/8*3000,IF(I17="-",0,P17/8*2000)))</f>
        <v>0</v>
      </c>
      <c r="V17" s="84">
        <f t="shared" ref="V17" si="26">J17*-12500</f>
        <v>0</v>
      </c>
      <c r="W17" s="83">
        <f t="shared" si="15"/>
        <v>0</v>
      </c>
      <c r="X17" s="83"/>
      <c r="Y17" s="83">
        <f t="shared" si="6"/>
        <v>0</v>
      </c>
      <c r="AE17" s="32">
        <f t="shared" si="21"/>
        <v>0</v>
      </c>
      <c r="AK17" s="94">
        <v>0</v>
      </c>
      <c r="AL17" s="32">
        <f t="shared" si="9"/>
        <v>0</v>
      </c>
    </row>
    <row r="18" spans="1:38" ht="26.1" customHeight="1">
      <c r="A18" s="34"/>
      <c r="B18" s="36"/>
      <c r="C18" s="47"/>
      <c r="D18" s="47"/>
      <c r="E18" s="36"/>
      <c r="F18" s="47"/>
      <c r="G18" s="37"/>
      <c r="H18" s="37"/>
      <c r="I18" s="37"/>
      <c r="J18" s="36">
        <f>SUM(J5:J16)</f>
        <v>10</v>
      </c>
      <c r="K18" s="37"/>
      <c r="L18" s="105">
        <f>SUM(L5:L16)</f>
        <v>760</v>
      </c>
      <c r="M18" s="105">
        <f>SUM(M5:M17)</f>
        <v>744</v>
      </c>
      <c r="N18" s="105">
        <f>SUM(N5:N17)</f>
        <v>728</v>
      </c>
      <c r="O18" s="105">
        <f>SUM(O5:O16)</f>
        <v>48</v>
      </c>
      <c r="P18" s="102">
        <f>SUM(L18:O18)</f>
        <v>2280</v>
      </c>
      <c r="Q18" s="74">
        <f t="shared" ref="Q18:Y18" si="27">SUM(Q5:Q16)</f>
        <v>9785000</v>
      </c>
      <c r="R18" s="74">
        <f t="shared" si="27"/>
        <v>550000</v>
      </c>
      <c r="S18" s="74">
        <f t="shared" si="27"/>
        <v>199375</v>
      </c>
      <c r="T18" s="74">
        <f t="shared" si="27"/>
        <v>550000</v>
      </c>
      <c r="U18" s="74">
        <f t="shared" si="27"/>
        <v>580875</v>
      </c>
      <c r="V18" s="86">
        <f t="shared" si="27"/>
        <v>-125000</v>
      </c>
      <c r="W18" s="74">
        <f t="shared" si="27"/>
        <v>290000</v>
      </c>
      <c r="X18" s="74">
        <f t="shared" si="27"/>
        <v>0</v>
      </c>
      <c r="Y18" s="74">
        <f t="shared" si="27"/>
        <v>11832500</v>
      </c>
      <c r="AH18">
        <f>SUM(AH5:AH15)</f>
        <v>168</v>
      </c>
      <c r="AI18">
        <f>SUM(AI5:AI15)</f>
        <v>21</v>
      </c>
      <c r="AK18" s="98">
        <f>SUM(AK5:AK17)</f>
        <v>8840500</v>
      </c>
    </row>
    <row r="19" spans="1:38" ht="26.1" customHeight="1">
      <c r="A19" s="34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114">
        <f>L18+M18+N18</f>
        <v>2232</v>
      </c>
      <c r="M19" s="115"/>
      <c r="N19" s="115"/>
      <c r="W19" s="116">
        <f ca="1">NOW()</f>
        <v>45695.397736921295</v>
      </c>
      <c r="X19" s="116"/>
    </row>
    <row r="20" spans="1:38" ht="26.1" hidden="1" customHeight="1">
      <c r="A20" s="34"/>
      <c r="B20" s="48"/>
      <c r="C20" s="49"/>
      <c r="D20" s="49"/>
      <c r="E20" s="49"/>
      <c r="F20" s="49"/>
      <c r="G20" s="49"/>
      <c r="H20" s="49"/>
      <c r="I20" s="49"/>
      <c r="J20" s="49"/>
      <c r="K20" s="49"/>
    </row>
    <row r="21" spans="1:38" ht="26.1" hidden="1" customHeight="1">
      <c r="A21" s="34"/>
      <c r="B21" s="50"/>
      <c r="C21" s="50"/>
      <c r="D21" s="50"/>
      <c r="E21" s="51"/>
      <c r="F21" s="50"/>
      <c r="G21" s="52"/>
      <c r="H21" s="53"/>
      <c r="I21" s="75"/>
      <c r="J21" s="75"/>
      <c r="K21" s="48"/>
      <c r="L21" s="76">
        <f>SUM(L18:N18)</f>
        <v>2232</v>
      </c>
      <c r="M21" s="77"/>
    </row>
    <row r="22" spans="1:38" ht="26.1" hidden="1" customHeight="1">
      <c r="A22" s="34"/>
      <c r="B22" s="54"/>
      <c r="C22" s="54"/>
      <c r="D22" s="54"/>
      <c r="E22" s="54"/>
      <c r="F22" s="54"/>
      <c r="G22" s="54"/>
      <c r="H22" s="55"/>
      <c r="I22" s="55"/>
      <c r="J22" s="55"/>
      <c r="K22" s="60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</row>
    <row r="23" spans="1:38" ht="26.1" hidden="1" customHeight="1">
      <c r="A23" s="34"/>
      <c r="B23" s="56"/>
      <c r="C23" s="57"/>
      <c r="D23" s="54"/>
      <c r="E23" s="54"/>
      <c r="F23" s="54"/>
      <c r="G23" s="54"/>
      <c r="H23" s="54"/>
      <c r="I23" s="57"/>
      <c r="J23" s="54"/>
      <c r="K23" s="54"/>
      <c r="L23" s="54"/>
      <c r="M23" s="54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</row>
    <row r="24" spans="1:38" ht="26.1" customHeight="1">
      <c r="A24" s="34"/>
      <c r="B24" s="58"/>
      <c r="C24" s="58" t="s">
        <v>38</v>
      </c>
      <c r="D24" s="58"/>
      <c r="E24" s="117">
        <f>IF(L19&gt;0,data!F3/L19)</f>
        <v>0</v>
      </c>
      <c r="F24" s="117"/>
      <c r="G24" s="54"/>
      <c r="H24" s="57"/>
      <c r="I24" s="57"/>
      <c r="J24" s="79" t="s">
        <v>39</v>
      </c>
      <c r="K24" s="79"/>
      <c r="L24" s="79"/>
      <c r="M24" s="79"/>
      <c r="N24" s="79"/>
      <c r="O24" s="79"/>
      <c r="P24" s="79"/>
      <c r="X24" s="55"/>
      <c r="Y24" s="55"/>
    </row>
    <row r="25" spans="1:38" ht="26.1" hidden="1" customHeight="1">
      <c r="A25" s="34"/>
      <c r="B25" s="59"/>
      <c r="C25" s="59"/>
      <c r="D25" s="59"/>
      <c r="E25" s="60"/>
      <c r="F25" s="60"/>
      <c r="G25" s="54"/>
      <c r="H25" s="57"/>
      <c r="I25" s="54"/>
      <c r="J25" s="54"/>
      <c r="K25" s="80"/>
      <c r="L25" s="80"/>
      <c r="M25" s="80"/>
      <c r="N25" s="80"/>
      <c r="O25" s="34"/>
      <c r="P25" s="34"/>
      <c r="X25" s="55"/>
      <c r="Y25" s="55"/>
    </row>
    <row r="26" spans="1:38" ht="26.1" hidden="1" customHeight="1">
      <c r="A26" s="34"/>
      <c r="B26" s="60"/>
      <c r="C26" s="60"/>
      <c r="D26" s="60"/>
      <c r="E26" s="60"/>
      <c r="F26" s="60"/>
      <c r="G26" s="54"/>
      <c r="H26" s="57"/>
      <c r="I26" s="54"/>
      <c r="J26" s="54"/>
      <c r="K26" s="34"/>
      <c r="L26" s="34"/>
      <c r="M26" s="34"/>
      <c r="N26" s="80"/>
      <c r="O26" s="34"/>
      <c r="P26" s="34"/>
      <c r="X26" s="55"/>
      <c r="Y26" s="55"/>
    </row>
    <row r="27" spans="1:38" ht="26.1" customHeight="1">
      <c r="A27" s="34"/>
      <c r="B27" s="110" t="s">
        <v>40</v>
      </c>
      <c r="C27" s="110"/>
      <c r="D27" s="110"/>
      <c r="E27" s="110"/>
      <c r="F27" s="61">
        <v>3</v>
      </c>
      <c r="G27" s="54"/>
      <c r="H27" s="57"/>
      <c r="I27" s="54"/>
      <c r="J27" s="109"/>
      <c r="K27" s="109"/>
      <c r="L27" s="109"/>
      <c r="M27" s="109"/>
      <c r="N27" s="109"/>
      <c r="O27" s="109"/>
      <c r="P27" s="109"/>
      <c r="X27" s="87">
        <f>1.5*data!A3</f>
        <v>52500</v>
      </c>
      <c r="Y27" s="92">
        <f>X27/8</f>
        <v>6562.5</v>
      </c>
    </row>
    <row r="28" spans="1:38" ht="26.1" customHeight="1">
      <c r="A28" s="34"/>
      <c r="B28" s="110" t="s">
        <v>41</v>
      </c>
      <c r="C28" s="110"/>
      <c r="D28" s="110"/>
      <c r="E28" s="110"/>
      <c r="F28" s="62">
        <f>31*24*F27</f>
        <v>2232</v>
      </c>
      <c r="G28" s="63"/>
      <c r="H28" s="62"/>
      <c r="I28" s="63"/>
      <c r="J28" s="109"/>
      <c r="K28" s="109"/>
      <c r="L28" s="109"/>
      <c r="M28" s="109"/>
      <c r="N28" s="109"/>
      <c r="O28" s="109"/>
      <c r="P28" s="109"/>
      <c r="X28" s="88">
        <f>X27-data!A3</f>
        <v>17500</v>
      </c>
      <c r="Y28" s="92">
        <f>X28/8</f>
        <v>2187.5</v>
      </c>
    </row>
    <row r="29" spans="1:38" ht="26.1" customHeight="1">
      <c r="A29" s="34"/>
      <c r="B29" s="110" t="s">
        <v>42</v>
      </c>
      <c r="C29" s="110"/>
      <c r="D29" s="110"/>
      <c r="E29" s="110"/>
      <c r="F29" s="62">
        <v>0</v>
      </c>
      <c r="G29" s="63"/>
      <c r="H29" s="63"/>
      <c r="I29" s="63"/>
      <c r="J29" s="63"/>
      <c r="K29" s="34"/>
      <c r="L29" s="81"/>
      <c r="M29" s="34"/>
      <c r="N29" s="80"/>
      <c r="O29" s="34"/>
      <c r="P29" s="82"/>
      <c r="X29" s="55"/>
      <c r="Y29" s="55"/>
    </row>
    <row r="30" spans="1:38" ht="26.1" customHeight="1">
      <c r="A30" s="34"/>
      <c r="B30" s="110" t="s">
        <v>43</v>
      </c>
      <c r="C30" s="110"/>
      <c r="D30" s="110"/>
      <c r="E30" s="110"/>
      <c r="F30" s="64">
        <f>F28-F29</f>
        <v>2232</v>
      </c>
      <c r="G30" s="65"/>
      <c r="H30" s="65"/>
      <c r="I30" s="65"/>
      <c r="J30" s="65"/>
      <c r="X30" s="55"/>
      <c r="Y30" s="55"/>
    </row>
    <row r="31" spans="1:38" ht="26.1" customHeight="1">
      <c r="A31" s="34"/>
      <c r="B31" s="108" t="s">
        <v>44</v>
      </c>
      <c r="C31" s="108"/>
      <c r="D31" s="108"/>
      <c r="E31" s="108"/>
      <c r="F31" s="66">
        <f>P18</f>
        <v>2280</v>
      </c>
      <c r="G31" s="67"/>
      <c r="H31" s="67"/>
      <c r="I31" s="67"/>
      <c r="J31" s="67"/>
      <c r="X31" s="89"/>
      <c r="Y31" s="89"/>
    </row>
    <row r="32" spans="1:38" ht="26.1" customHeight="1">
      <c r="A32" s="34"/>
      <c r="B32" s="108" t="s">
        <v>45</v>
      </c>
      <c r="C32" s="108"/>
      <c r="D32" s="108"/>
      <c r="E32" s="108"/>
      <c r="F32" s="68">
        <f>-(F30-F31)</f>
        <v>48</v>
      </c>
      <c r="G32" s="69"/>
      <c r="H32" s="69"/>
      <c r="I32" s="69"/>
      <c r="J32" s="67"/>
      <c r="X32" s="48"/>
      <c r="Y32" s="75"/>
    </row>
    <row r="33" spans="25:25" ht="26.1" customHeight="1">
      <c r="Y33" s="93"/>
    </row>
    <row r="34" spans="25:25" ht="26.1" customHeight="1"/>
    <row r="35" spans="25:25" ht="26.1" customHeight="1"/>
    <row r="36" spans="25:25" ht="26.1" customHeight="1"/>
    <row r="37" spans="25:25" ht="26.1" customHeight="1"/>
    <row r="38" spans="25:25" ht="26.1" customHeight="1"/>
    <row r="39" spans="25:25" ht="26.1" customHeight="1"/>
    <row r="40" spans="25:25" ht="26.1" customHeight="1"/>
    <row r="41" spans="25:25" ht="26.1" customHeight="1"/>
    <row r="42" spans="25:25" ht="26.1" customHeight="1"/>
    <row r="43" spans="25:25" ht="26.1" customHeight="1"/>
    <row r="44" spans="25:25" ht="26.1" customHeight="1"/>
    <row r="45" spans="25:25" ht="26.1" customHeight="1"/>
    <row r="46" spans="25:25" ht="26.1" customHeight="1"/>
  </sheetData>
  <sortState xmlns:xlrd2="http://schemas.microsoft.com/office/spreadsheetml/2017/richdata2" ref="C5:AK16">
    <sortCondition ref="C5"/>
  </sortState>
  <mergeCells count="12">
    <mergeCell ref="B3:D3"/>
    <mergeCell ref="AH4:AI4"/>
    <mergeCell ref="L19:N19"/>
    <mergeCell ref="W19:X19"/>
    <mergeCell ref="E24:F24"/>
    <mergeCell ref="B32:E32"/>
    <mergeCell ref="J27:P28"/>
    <mergeCell ref="B27:E27"/>
    <mergeCell ref="B28:E28"/>
    <mergeCell ref="B29:E29"/>
    <mergeCell ref="B30:E30"/>
    <mergeCell ref="B31:E31"/>
  </mergeCells>
  <conditionalFormatting sqref="AD5:AD17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1" orientation="landscape" r:id="rId1"/>
  <ignoredErrors>
    <ignoredError sqref="O18:P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G14"/>
  <sheetViews>
    <sheetView showGridLines="0" workbookViewId="0">
      <selection activeCell="J13" sqref="J13"/>
    </sheetView>
  </sheetViews>
  <sheetFormatPr defaultRowHeight="15"/>
  <cols>
    <col min="3" max="3" width="3.42578125" customWidth="1"/>
    <col min="4" max="4" width="9.28515625" customWidth="1"/>
    <col min="5" max="5" width="12.140625" customWidth="1"/>
    <col min="6" max="6" width="13" customWidth="1"/>
    <col min="7" max="7" width="13.42578125" customWidth="1"/>
  </cols>
  <sheetData>
    <row r="3" spans="3:7">
      <c r="C3" s="118" t="s">
        <v>75</v>
      </c>
      <c r="D3" s="119"/>
      <c r="E3" s="119"/>
      <c r="F3" s="119"/>
      <c r="G3" s="120"/>
    </row>
    <row r="4" spans="3:7">
      <c r="C4" s="107" t="s">
        <v>1</v>
      </c>
      <c r="D4" s="107" t="s">
        <v>76</v>
      </c>
      <c r="E4" s="107" t="s">
        <v>77</v>
      </c>
      <c r="F4" s="107" t="s">
        <v>78</v>
      </c>
      <c r="G4" s="107" t="s">
        <v>79</v>
      </c>
    </row>
    <row r="5" spans="3:7">
      <c r="C5" s="106">
        <v>1</v>
      </c>
      <c r="D5" s="107" t="s">
        <v>29</v>
      </c>
      <c r="E5" s="107">
        <v>1</v>
      </c>
      <c r="F5" s="106">
        <f>E5*8</f>
        <v>8</v>
      </c>
      <c r="G5" s="107" t="s">
        <v>85</v>
      </c>
    </row>
    <row r="6" spans="3:7">
      <c r="C6" s="106">
        <v>2</v>
      </c>
      <c r="D6" s="107" t="s">
        <v>28</v>
      </c>
      <c r="E6" s="107">
        <v>3</v>
      </c>
      <c r="F6" s="106">
        <f t="shared" ref="F6:F7" si="0">E6*8</f>
        <v>24</v>
      </c>
      <c r="G6" s="107" t="s">
        <v>86</v>
      </c>
    </row>
    <row r="7" spans="3:7">
      <c r="C7" s="106">
        <v>3</v>
      </c>
      <c r="D7" s="107" t="s">
        <v>32</v>
      </c>
      <c r="E7" s="107">
        <v>4</v>
      </c>
      <c r="F7" s="106">
        <f t="shared" si="0"/>
        <v>32</v>
      </c>
      <c r="G7" s="106"/>
    </row>
    <row r="10" spans="3:7">
      <c r="D10" s="118" t="s">
        <v>80</v>
      </c>
      <c r="E10" s="119"/>
      <c r="F10" s="119"/>
      <c r="G10" s="120"/>
    </row>
    <row r="11" spans="3:7">
      <c r="D11" s="107" t="s">
        <v>25</v>
      </c>
      <c r="E11" s="106"/>
      <c r="F11" s="106"/>
      <c r="G11" s="106"/>
    </row>
    <row r="12" spans="3:7">
      <c r="D12" s="107" t="s">
        <v>73</v>
      </c>
      <c r="E12" s="106"/>
      <c r="F12" s="106"/>
      <c r="G12" s="106"/>
    </row>
    <row r="13" spans="3:7">
      <c r="D13" s="107" t="s">
        <v>29</v>
      </c>
      <c r="E13" s="107" t="s">
        <v>81</v>
      </c>
      <c r="F13" s="107" t="s">
        <v>82</v>
      </c>
      <c r="G13" s="106"/>
    </row>
    <row r="14" spans="3:7">
      <c r="D14" s="107" t="s">
        <v>34</v>
      </c>
      <c r="E14" s="107" t="s">
        <v>83</v>
      </c>
      <c r="F14" s="107" t="s">
        <v>84</v>
      </c>
      <c r="G14" s="106"/>
    </row>
  </sheetData>
  <mergeCells count="2">
    <mergeCell ref="C3:G3"/>
    <mergeCell ref="D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AA37"/>
  <sheetViews>
    <sheetView workbookViewId="0">
      <selection activeCell="I11" sqref="I11"/>
    </sheetView>
  </sheetViews>
  <sheetFormatPr defaultColWidth="9" defaultRowHeight="15"/>
  <cols>
    <col min="2" max="2" width="4.85546875" customWidth="1"/>
    <col min="3" max="3" width="10.42578125" customWidth="1"/>
    <col min="7" max="7" width="9.28515625" customWidth="1"/>
    <col min="12" max="12" width="9.28515625" customWidth="1"/>
    <col min="13" max="13" width="10.5703125" customWidth="1"/>
    <col min="14" max="14" width="9.28515625" customWidth="1"/>
    <col min="15" max="15" width="10.5703125" customWidth="1"/>
    <col min="16" max="16" width="9.28515625" customWidth="1"/>
    <col min="17" max="17" width="10.5703125" customWidth="1"/>
    <col min="18" max="19" width="9.28515625" customWidth="1"/>
    <col min="20" max="22" width="13" customWidth="1"/>
    <col min="23" max="23" width="11.140625" customWidth="1"/>
    <col min="24" max="26" width="11" customWidth="1"/>
    <col min="27" max="27" width="9.28515625" customWidth="1"/>
    <col min="28" max="28" width="11" customWidth="1"/>
    <col min="29" max="29" width="12.85546875" customWidth="1"/>
    <col min="30" max="30" width="14.28515625" customWidth="1"/>
  </cols>
  <sheetData>
    <row r="4" spans="2:27" ht="33.75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46</v>
      </c>
      <c r="S4" s="5" t="s">
        <v>47</v>
      </c>
      <c r="T4" s="5" t="s">
        <v>4</v>
      </c>
      <c r="U4" s="5" t="s">
        <v>5</v>
      </c>
      <c r="V4" s="5" t="s">
        <v>6</v>
      </c>
      <c r="W4" s="5" t="s">
        <v>17</v>
      </c>
      <c r="X4" s="5" t="s">
        <v>18</v>
      </c>
      <c r="Y4" s="5" t="s">
        <v>19</v>
      </c>
      <c r="Z4" s="5" t="s">
        <v>20</v>
      </c>
      <c r="AA4" s="5" t="s">
        <v>21</v>
      </c>
    </row>
    <row r="5" spans="2:27">
      <c r="B5" s="7">
        <v>1</v>
      </c>
      <c r="C5" s="8" t="s">
        <v>48</v>
      </c>
      <c r="D5" s="9" t="s">
        <v>3</v>
      </c>
      <c r="E5" s="7" t="s">
        <v>49</v>
      </c>
      <c r="F5" s="10"/>
      <c r="G5" s="7">
        <v>1</v>
      </c>
      <c r="H5" s="7"/>
      <c r="I5" s="15" t="s">
        <v>37</v>
      </c>
      <c r="J5" s="7"/>
      <c r="K5" s="7"/>
      <c r="L5" s="25">
        <v>32</v>
      </c>
      <c r="M5" s="25">
        <v>10</v>
      </c>
      <c r="N5" s="25">
        <v>152</v>
      </c>
      <c r="O5" s="25">
        <v>0</v>
      </c>
      <c r="P5" s="25">
        <v>194</v>
      </c>
      <c r="Q5" s="25">
        <v>766267.02508960594</v>
      </c>
      <c r="R5" s="25">
        <f>Q5/P5</f>
        <v>3949.8300262350822</v>
      </c>
      <c r="S5" s="25">
        <f>R5*8</f>
        <v>31598.640209880657</v>
      </c>
      <c r="T5" s="25">
        <v>0</v>
      </c>
      <c r="U5" s="25">
        <v>24250</v>
      </c>
      <c r="V5" s="25">
        <v>50000</v>
      </c>
      <c r="W5" s="25">
        <v>0</v>
      </c>
      <c r="X5" s="25">
        <v>0</v>
      </c>
      <c r="Y5" s="25">
        <v>0</v>
      </c>
      <c r="Z5" s="25">
        <v>2000</v>
      </c>
      <c r="AA5" s="25">
        <v>843000</v>
      </c>
    </row>
    <row r="6" spans="2:27">
      <c r="B6" s="11">
        <v>2</v>
      </c>
      <c r="C6" s="12" t="s">
        <v>50</v>
      </c>
      <c r="D6" s="13" t="s">
        <v>26</v>
      </c>
      <c r="E6" s="14" t="s">
        <v>51</v>
      </c>
      <c r="F6" s="13"/>
      <c r="G6" s="14"/>
      <c r="H6" s="14"/>
      <c r="I6" s="14" t="s">
        <v>37</v>
      </c>
      <c r="J6" s="11"/>
      <c r="K6" s="14"/>
      <c r="L6" s="26">
        <v>16</v>
      </c>
      <c r="M6" s="26">
        <v>59</v>
      </c>
      <c r="N6" s="26">
        <v>40</v>
      </c>
      <c r="O6" s="27">
        <v>0</v>
      </c>
      <c r="P6" s="26">
        <v>115</v>
      </c>
      <c r="Q6" s="25">
        <v>453859.318996416</v>
      </c>
      <c r="R6" s="25">
        <f t="shared" ref="R6:R17" si="0">Q6/P6</f>
        <v>3946.6027738818784</v>
      </c>
      <c r="S6" s="25">
        <f t="shared" ref="S6:S17" si="1">R6*8</f>
        <v>31572.822191055027</v>
      </c>
      <c r="T6" s="26">
        <v>0</v>
      </c>
      <c r="U6" s="25">
        <v>14375</v>
      </c>
      <c r="V6" s="26">
        <v>0</v>
      </c>
      <c r="W6" s="26">
        <v>0</v>
      </c>
      <c r="X6" s="26">
        <v>0</v>
      </c>
      <c r="Y6" s="26">
        <v>90000</v>
      </c>
      <c r="Z6" s="26">
        <v>0</v>
      </c>
      <c r="AA6" s="26">
        <v>558500</v>
      </c>
    </row>
    <row r="7" spans="2:27">
      <c r="B7" s="7">
        <v>3</v>
      </c>
      <c r="C7" s="10" t="s">
        <v>52</v>
      </c>
      <c r="D7" s="9" t="s">
        <v>3</v>
      </c>
      <c r="E7" s="15"/>
      <c r="F7" s="9"/>
      <c r="G7" s="15">
        <v>2</v>
      </c>
      <c r="H7" s="15" t="s">
        <v>31</v>
      </c>
      <c r="I7" s="100" t="s">
        <v>53</v>
      </c>
      <c r="J7" s="7"/>
      <c r="K7" s="15" t="s">
        <v>31</v>
      </c>
      <c r="L7" s="28">
        <v>202</v>
      </c>
      <c r="M7" s="28">
        <v>6</v>
      </c>
      <c r="N7" s="28">
        <v>8</v>
      </c>
      <c r="O7" s="28">
        <v>0</v>
      </c>
      <c r="P7" s="25">
        <v>216</v>
      </c>
      <c r="Q7" s="25">
        <v>873959.67741935502</v>
      </c>
      <c r="R7" s="25">
        <f t="shared" si="0"/>
        <v>4046.1096176821993</v>
      </c>
      <c r="S7" s="25">
        <f t="shared" si="1"/>
        <v>32368.876941457595</v>
      </c>
      <c r="T7" s="25">
        <v>100000</v>
      </c>
      <c r="U7" s="25">
        <v>27000</v>
      </c>
      <c r="V7" s="25">
        <v>100000</v>
      </c>
      <c r="W7" s="25">
        <v>81000</v>
      </c>
      <c r="X7" s="25">
        <v>0</v>
      </c>
      <c r="Y7" s="25">
        <v>50000</v>
      </c>
      <c r="Z7" s="25">
        <v>1500</v>
      </c>
      <c r="AA7" s="25">
        <v>1233500</v>
      </c>
    </row>
    <row r="8" spans="2:27">
      <c r="B8" s="7">
        <v>4</v>
      </c>
      <c r="C8" s="9" t="s">
        <v>54</v>
      </c>
      <c r="D8" s="9" t="s">
        <v>26</v>
      </c>
      <c r="E8" s="7" t="s">
        <v>49</v>
      </c>
      <c r="F8" s="9"/>
      <c r="G8" s="15"/>
      <c r="H8" s="15"/>
      <c r="I8" s="15"/>
      <c r="J8" s="7"/>
      <c r="K8" s="15"/>
      <c r="L8" s="28">
        <v>0</v>
      </c>
      <c r="M8" s="28">
        <v>136</v>
      </c>
      <c r="N8" s="28">
        <v>72</v>
      </c>
      <c r="O8" s="28">
        <v>0</v>
      </c>
      <c r="P8" s="25">
        <v>208</v>
      </c>
      <c r="Q8" s="25">
        <v>817275.98566308198</v>
      </c>
      <c r="R8" s="25">
        <f t="shared" si="0"/>
        <v>3929.2114695340479</v>
      </c>
      <c r="S8" s="25">
        <f t="shared" si="1"/>
        <v>31433.691756272383</v>
      </c>
      <c r="T8" s="25">
        <v>0</v>
      </c>
      <c r="U8" s="25">
        <v>26000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843500</v>
      </c>
    </row>
    <row r="9" spans="2:27">
      <c r="B9" s="16">
        <v>5</v>
      </c>
      <c r="C9" s="17" t="s">
        <v>55</v>
      </c>
      <c r="D9" s="17" t="s">
        <v>3</v>
      </c>
      <c r="E9" s="16"/>
      <c r="F9" s="17"/>
      <c r="G9" s="18">
        <v>1</v>
      </c>
      <c r="H9" s="18" t="s">
        <v>31</v>
      </c>
      <c r="I9" s="18" t="s">
        <v>53</v>
      </c>
      <c r="J9" s="16"/>
      <c r="K9" s="18" t="s">
        <v>31</v>
      </c>
      <c r="L9" s="29">
        <v>4</v>
      </c>
      <c r="M9" s="29">
        <v>0</v>
      </c>
      <c r="N9" s="29">
        <v>109</v>
      </c>
      <c r="O9" s="29">
        <v>0</v>
      </c>
      <c r="P9" s="30">
        <v>113</v>
      </c>
      <c r="Q9" s="25">
        <v>444500.896057348</v>
      </c>
      <c r="R9" s="25">
        <f t="shared" si="0"/>
        <v>3933.6362482951149</v>
      </c>
      <c r="S9" s="25">
        <f t="shared" si="1"/>
        <v>31469.089986360919</v>
      </c>
      <c r="T9" s="30">
        <v>100000</v>
      </c>
      <c r="U9" s="25">
        <v>14125</v>
      </c>
      <c r="V9" s="30">
        <v>50000</v>
      </c>
      <c r="W9" s="30">
        <v>42375</v>
      </c>
      <c r="X9" s="30">
        <v>0</v>
      </c>
      <c r="Y9" s="30">
        <v>50000</v>
      </c>
      <c r="Z9" s="30">
        <v>841000</v>
      </c>
      <c r="AA9" s="30">
        <v>1542500</v>
      </c>
    </row>
    <row r="10" spans="2:27">
      <c r="B10" s="16">
        <v>6</v>
      </c>
      <c r="C10" s="19" t="s">
        <v>30</v>
      </c>
      <c r="D10" s="17" t="s">
        <v>3</v>
      </c>
      <c r="E10" s="18"/>
      <c r="F10" s="17"/>
      <c r="G10" s="18">
        <v>4</v>
      </c>
      <c r="H10" s="18" t="s">
        <v>31</v>
      </c>
      <c r="I10" s="18" t="s">
        <v>53</v>
      </c>
      <c r="J10" s="16"/>
      <c r="K10" s="18" t="s">
        <v>31</v>
      </c>
      <c r="L10" s="29">
        <v>0</v>
      </c>
      <c r="M10" s="29">
        <v>84</v>
      </c>
      <c r="N10" s="29">
        <v>2</v>
      </c>
      <c r="O10" s="29">
        <v>0</v>
      </c>
      <c r="P10" s="30">
        <v>86</v>
      </c>
      <c r="Q10" s="25">
        <v>337912.18637992803</v>
      </c>
      <c r="R10" s="25">
        <f t="shared" si="0"/>
        <v>3929.211469534047</v>
      </c>
      <c r="S10" s="25">
        <f t="shared" si="1"/>
        <v>31433.691756272376</v>
      </c>
      <c r="T10" s="30">
        <v>50000</v>
      </c>
      <c r="U10" s="25">
        <v>10750</v>
      </c>
      <c r="V10" s="30">
        <v>200000</v>
      </c>
      <c r="W10" s="30">
        <v>32250</v>
      </c>
      <c r="X10" s="30">
        <v>0</v>
      </c>
      <c r="Y10" s="30">
        <v>50000</v>
      </c>
      <c r="Z10" s="30">
        <v>847000</v>
      </c>
      <c r="AA10" s="30">
        <v>1528000</v>
      </c>
    </row>
    <row r="11" spans="2:27">
      <c r="B11" s="16">
        <v>7</v>
      </c>
      <c r="C11" s="19" t="s">
        <v>56</v>
      </c>
      <c r="D11" s="17" t="s">
        <v>3</v>
      </c>
      <c r="E11" s="16" t="s">
        <v>51</v>
      </c>
      <c r="F11" s="18"/>
      <c r="G11" s="18">
        <v>1</v>
      </c>
      <c r="H11" s="18"/>
      <c r="I11" s="18" t="s">
        <v>37</v>
      </c>
      <c r="J11" s="16"/>
      <c r="K11" s="18"/>
      <c r="L11" s="29">
        <v>0</v>
      </c>
      <c r="M11" s="29">
        <v>134</v>
      </c>
      <c r="N11" s="29">
        <v>11</v>
      </c>
      <c r="O11" s="29">
        <v>0</v>
      </c>
      <c r="P11" s="30">
        <v>145</v>
      </c>
      <c r="Q11" s="30">
        <v>569735.66308243701</v>
      </c>
      <c r="R11" s="25">
        <f t="shared" si="0"/>
        <v>3929.2114695340483</v>
      </c>
      <c r="S11" s="25">
        <f t="shared" si="1"/>
        <v>31433.691756272387</v>
      </c>
      <c r="T11" s="30">
        <v>0</v>
      </c>
      <c r="U11" s="30">
        <v>18125</v>
      </c>
      <c r="V11" s="30">
        <v>50000</v>
      </c>
      <c r="W11" s="30">
        <v>0</v>
      </c>
      <c r="X11" s="30">
        <v>0</v>
      </c>
      <c r="Y11" s="30">
        <v>0</v>
      </c>
      <c r="Z11" s="30">
        <v>196000</v>
      </c>
      <c r="AA11" s="30">
        <v>834000</v>
      </c>
    </row>
    <row r="12" spans="2:27">
      <c r="B12" s="16">
        <v>8</v>
      </c>
      <c r="C12" s="19" t="s">
        <v>32</v>
      </c>
      <c r="D12" s="17" t="s">
        <v>3</v>
      </c>
      <c r="E12" s="16"/>
      <c r="F12" s="17"/>
      <c r="G12" s="18">
        <v>1</v>
      </c>
      <c r="H12" s="18" t="s">
        <v>31</v>
      </c>
      <c r="I12" s="18"/>
      <c r="J12" s="16"/>
      <c r="K12" s="18"/>
      <c r="L12" s="29">
        <v>41</v>
      </c>
      <c r="M12" s="29">
        <v>8</v>
      </c>
      <c r="N12" s="29">
        <v>135</v>
      </c>
      <c r="O12" s="29">
        <v>0</v>
      </c>
      <c r="P12" s="30">
        <v>184</v>
      </c>
      <c r="Q12" s="30">
        <v>728099.91039426497</v>
      </c>
      <c r="R12" s="25">
        <f t="shared" si="0"/>
        <v>3957.0647304036138</v>
      </c>
      <c r="S12" s="25">
        <f t="shared" si="1"/>
        <v>31656.51784322891</v>
      </c>
      <c r="T12" s="30">
        <v>100000</v>
      </c>
      <c r="U12" s="30">
        <v>23000</v>
      </c>
      <c r="V12" s="30">
        <v>50000</v>
      </c>
      <c r="W12" s="30">
        <v>46000</v>
      </c>
      <c r="X12" s="30">
        <v>0</v>
      </c>
      <c r="Y12" s="30">
        <v>0</v>
      </c>
      <c r="Z12" s="30">
        <v>122500</v>
      </c>
      <c r="AA12" s="30">
        <v>1070000</v>
      </c>
    </row>
    <row r="13" spans="2:27">
      <c r="B13" s="7">
        <v>9</v>
      </c>
      <c r="C13" s="10" t="s">
        <v>34</v>
      </c>
      <c r="D13" s="9" t="s">
        <v>3</v>
      </c>
      <c r="E13" s="7"/>
      <c r="F13" s="9"/>
      <c r="G13" s="15">
        <v>1</v>
      </c>
      <c r="H13" s="15"/>
      <c r="I13" s="15" t="s">
        <v>53</v>
      </c>
      <c r="J13" s="7"/>
      <c r="K13" s="15"/>
      <c r="L13" s="28">
        <v>0</v>
      </c>
      <c r="M13" s="28">
        <v>216</v>
      </c>
      <c r="N13" s="28">
        <v>14</v>
      </c>
      <c r="O13" s="28">
        <v>0</v>
      </c>
      <c r="P13" s="25">
        <v>230</v>
      </c>
      <c r="Q13" s="25">
        <v>903718.63799283199</v>
      </c>
      <c r="R13" s="25">
        <f t="shared" si="0"/>
        <v>3929.211469534052</v>
      </c>
      <c r="S13" s="25">
        <f t="shared" si="1"/>
        <v>31433.691756272416</v>
      </c>
      <c r="T13" s="25">
        <v>50000</v>
      </c>
      <c r="U13" s="25">
        <v>28750</v>
      </c>
      <c r="V13" s="25">
        <v>50000</v>
      </c>
      <c r="W13" s="25">
        <v>86250</v>
      </c>
      <c r="X13" s="25">
        <v>0</v>
      </c>
      <c r="Y13" s="25">
        <v>0</v>
      </c>
      <c r="Z13" s="25">
        <v>3000</v>
      </c>
      <c r="AA13" s="25">
        <v>1122000</v>
      </c>
    </row>
    <row r="14" spans="2:27">
      <c r="B14" s="7">
        <v>10</v>
      </c>
      <c r="C14" s="10" t="s">
        <v>57</v>
      </c>
      <c r="D14" s="9" t="s">
        <v>3</v>
      </c>
      <c r="E14" s="15"/>
      <c r="F14" s="9"/>
      <c r="G14" s="15">
        <v>1</v>
      </c>
      <c r="H14" s="15"/>
      <c r="I14" s="15" t="s">
        <v>53</v>
      </c>
      <c r="J14" s="7"/>
      <c r="K14" s="15" t="s">
        <v>31</v>
      </c>
      <c r="L14" s="28">
        <v>232</v>
      </c>
      <c r="M14" s="28">
        <v>22</v>
      </c>
      <c r="N14" s="28">
        <v>0</v>
      </c>
      <c r="O14" s="28">
        <v>0</v>
      </c>
      <c r="P14" s="25">
        <v>254</v>
      </c>
      <c r="Q14" s="25">
        <v>1027019.7132616499</v>
      </c>
      <c r="R14" s="25">
        <f t="shared" si="0"/>
        <v>4043.3846978805118</v>
      </c>
      <c r="S14" s="25">
        <f t="shared" si="1"/>
        <v>32347.077583044094</v>
      </c>
      <c r="T14" s="25">
        <v>50000</v>
      </c>
      <c r="U14" s="25">
        <v>31750</v>
      </c>
      <c r="V14" s="25">
        <v>50000</v>
      </c>
      <c r="W14" s="25">
        <v>95250</v>
      </c>
      <c r="X14" s="25">
        <v>0</v>
      </c>
      <c r="Y14" s="25">
        <v>50000</v>
      </c>
      <c r="Z14" s="25">
        <v>0</v>
      </c>
      <c r="AA14" s="25">
        <v>1304500</v>
      </c>
    </row>
    <row r="15" spans="2:27">
      <c r="B15" s="7">
        <v>11</v>
      </c>
      <c r="C15" s="10" t="s">
        <v>58</v>
      </c>
      <c r="D15" s="9" t="s">
        <v>3</v>
      </c>
      <c r="E15" s="7" t="s">
        <v>51</v>
      </c>
      <c r="F15" s="9"/>
      <c r="G15" s="15">
        <v>1</v>
      </c>
      <c r="H15" s="15"/>
      <c r="I15" s="15"/>
      <c r="J15" s="7"/>
      <c r="K15" s="15"/>
      <c r="L15" s="28">
        <v>205</v>
      </c>
      <c r="M15" s="28">
        <v>4</v>
      </c>
      <c r="N15" s="28">
        <v>1</v>
      </c>
      <c r="O15" s="28">
        <v>0</v>
      </c>
      <c r="P15" s="25">
        <v>210</v>
      </c>
      <c r="Q15" s="25">
        <v>850759.40860215097</v>
      </c>
      <c r="R15" s="25">
        <f t="shared" si="0"/>
        <v>4051.2352790578616</v>
      </c>
      <c r="S15" s="25">
        <f t="shared" si="1"/>
        <v>32409.882232462893</v>
      </c>
      <c r="T15" s="25">
        <v>0</v>
      </c>
      <c r="U15" s="25">
        <v>26250</v>
      </c>
      <c r="V15" s="25">
        <v>50000</v>
      </c>
      <c r="W15" s="25">
        <v>52500</v>
      </c>
      <c r="X15" s="25">
        <v>0</v>
      </c>
      <c r="Y15" s="25">
        <v>0</v>
      </c>
      <c r="Z15" s="25">
        <v>3000</v>
      </c>
      <c r="AA15" s="25">
        <v>983000</v>
      </c>
    </row>
    <row r="16" spans="2:27">
      <c r="B16" s="7">
        <v>12</v>
      </c>
      <c r="C16" s="10" t="s">
        <v>27</v>
      </c>
      <c r="D16" s="9" t="s">
        <v>26</v>
      </c>
      <c r="E16" s="7" t="s">
        <v>51</v>
      </c>
      <c r="F16" s="20"/>
      <c r="G16" s="20"/>
      <c r="H16" s="20"/>
      <c r="I16" s="15"/>
      <c r="J16" s="20"/>
      <c r="K16" s="20"/>
      <c r="L16" s="28">
        <v>4</v>
      </c>
      <c r="M16" s="28">
        <v>32</v>
      </c>
      <c r="N16" s="28">
        <v>170</v>
      </c>
      <c r="O16" s="28">
        <v>0</v>
      </c>
      <c r="P16" s="25">
        <v>206</v>
      </c>
      <c r="Q16" s="25">
        <v>809917.56272401405</v>
      </c>
      <c r="R16" s="25">
        <f t="shared" si="0"/>
        <v>3931.6386540000681</v>
      </c>
      <c r="S16" s="25">
        <f t="shared" si="1"/>
        <v>31453.109232000545</v>
      </c>
      <c r="T16" s="25">
        <v>0</v>
      </c>
      <c r="U16" s="25">
        <v>25750</v>
      </c>
      <c r="V16" s="25">
        <v>0</v>
      </c>
      <c r="W16" s="25">
        <v>0</v>
      </c>
      <c r="X16" s="25">
        <v>0</v>
      </c>
      <c r="Y16" s="25">
        <v>0</v>
      </c>
      <c r="Z16" s="25">
        <v>1000</v>
      </c>
      <c r="AA16" s="25">
        <v>837000</v>
      </c>
    </row>
    <row r="17" spans="2:27">
      <c r="B17" s="7">
        <v>13</v>
      </c>
      <c r="C17" s="10" t="s">
        <v>59</v>
      </c>
      <c r="D17" s="9" t="s">
        <v>26</v>
      </c>
      <c r="E17" s="7" t="s">
        <v>51</v>
      </c>
      <c r="F17" s="20"/>
      <c r="G17" s="20"/>
      <c r="H17" s="20"/>
      <c r="I17" s="15" t="s">
        <v>37</v>
      </c>
      <c r="J17" s="20"/>
      <c r="K17" s="20"/>
      <c r="L17" s="28">
        <v>8</v>
      </c>
      <c r="M17" s="28">
        <v>33</v>
      </c>
      <c r="N17" s="28">
        <v>30</v>
      </c>
      <c r="O17" s="28">
        <v>0</v>
      </c>
      <c r="P17" s="25">
        <v>71</v>
      </c>
      <c r="Q17" s="25">
        <v>279974.01433691802</v>
      </c>
      <c r="R17" s="25">
        <f t="shared" si="0"/>
        <v>3943.2959765763103</v>
      </c>
      <c r="S17" s="25">
        <f t="shared" si="1"/>
        <v>31546.367812610482</v>
      </c>
      <c r="T17" s="25">
        <v>0</v>
      </c>
      <c r="U17" s="25">
        <v>8875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289000</v>
      </c>
    </row>
    <row r="18" spans="2:27">
      <c r="B18" s="5"/>
      <c r="C18" s="21"/>
      <c r="D18" s="21"/>
      <c r="E18" s="5"/>
      <c r="F18" s="21"/>
      <c r="G18" s="6"/>
      <c r="H18" s="6"/>
      <c r="I18" s="6"/>
      <c r="J18" s="5"/>
      <c r="K18" s="6"/>
      <c r="L18" s="31">
        <v>744</v>
      </c>
      <c r="M18" s="31">
        <v>744</v>
      </c>
      <c r="N18" s="31">
        <v>744</v>
      </c>
      <c r="O18" s="31">
        <v>0</v>
      </c>
      <c r="P18" s="31">
        <v>2232</v>
      </c>
      <c r="Q18" s="31">
        <v>8863000</v>
      </c>
      <c r="R18" s="31"/>
      <c r="S18" s="31"/>
      <c r="T18" s="31">
        <v>450000</v>
      </c>
      <c r="U18" s="31">
        <v>279000</v>
      </c>
      <c r="V18" s="31">
        <v>650000</v>
      </c>
      <c r="W18" s="31">
        <v>435625</v>
      </c>
      <c r="X18" s="31">
        <v>0</v>
      </c>
      <c r="Y18" s="31">
        <v>290000</v>
      </c>
      <c r="Z18" s="31">
        <v>2017000</v>
      </c>
      <c r="AA18" s="31">
        <v>12988500</v>
      </c>
    </row>
    <row r="21" spans="2:27">
      <c r="B21" s="22"/>
      <c r="C21" s="22"/>
      <c r="D21" s="22"/>
      <c r="E21" s="22"/>
      <c r="F21" s="22"/>
      <c r="G21" s="22"/>
      <c r="H21" s="22"/>
      <c r="I21" s="22"/>
      <c r="J21" s="22"/>
      <c r="K21" s="101" t="s">
        <v>60</v>
      </c>
      <c r="L21" s="101" t="s">
        <v>61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7">
      <c r="B22" s="22"/>
      <c r="C22" s="22"/>
      <c r="D22" s="22"/>
      <c r="E22" s="22"/>
      <c r="F22" s="22"/>
      <c r="G22" s="22"/>
      <c r="H22" s="22"/>
      <c r="I22" s="22"/>
      <c r="J22" s="22"/>
      <c r="K22" s="22">
        <v>32000</v>
      </c>
      <c r="L22" s="22">
        <v>31000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7" ht="33.75">
      <c r="B23" s="5" t="s">
        <v>1</v>
      </c>
      <c r="C23" s="5" t="s">
        <v>2</v>
      </c>
      <c r="D23" s="6" t="s">
        <v>3</v>
      </c>
      <c r="E23" s="5" t="s">
        <v>51</v>
      </c>
      <c r="F23" s="5" t="s">
        <v>62</v>
      </c>
      <c r="G23" s="5" t="s">
        <v>63</v>
      </c>
      <c r="H23" s="5" t="s">
        <v>7</v>
      </c>
      <c r="I23" s="5" t="s">
        <v>8</v>
      </c>
      <c r="J23" s="5" t="s">
        <v>9</v>
      </c>
      <c r="K23" s="5" t="s">
        <v>10</v>
      </c>
      <c r="L23" s="5" t="s">
        <v>11</v>
      </c>
      <c r="M23" s="5" t="s">
        <v>64</v>
      </c>
      <c r="N23" s="5" t="s">
        <v>12</v>
      </c>
      <c r="O23" s="5"/>
      <c r="P23" s="5" t="s">
        <v>13</v>
      </c>
      <c r="Q23" s="5"/>
      <c r="R23" s="5" t="s">
        <v>14</v>
      </c>
      <c r="S23" s="5" t="s">
        <v>15</v>
      </c>
      <c r="T23" s="5" t="s">
        <v>16</v>
      </c>
      <c r="U23" s="5" t="s">
        <v>46</v>
      </c>
      <c r="V23" s="5" t="s">
        <v>47</v>
      </c>
      <c r="W23" s="5" t="s">
        <v>4</v>
      </c>
      <c r="X23" s="5" t="s">
        <v>5</v>
      </c>
      <c r="Y23" s="5" t="s">
        <v>6</v>
      </c>
    </row>
    <row r="24" spans="2:27">
      <c r="B24" s="7">
        <v>1</v>
      </c>
      <c r="C24" s="8" t="s">
        <v>48</v>
      </c>
      <c r="D24" s="23" t="s">
        <v>3</v>
      </c>
      <c r="E24" s="23">
        <v>4</v>
      </c>
      <c r="F24" s="23">
        <v>4</v>
      </c>
      <c r="G24" s="23">
        <v>2</v>
      </c>
      <c r="H24" s="23" t="s">
        <v>65</v>
      </c>
      <c r="I24" s="23"/>
      <c r="J24" s="23"/>
      <c r="K24" s="23"/>
      <c r="L24" s="23">
        <v>32</v>
      </c>
      <c r="M24" s="23">
        <f>$K$22/8*L24</f>
        <v>128000</v>
      </c>
      <c r="N24" s="23">
        <v>10</v>
      </c>
      <c r="O24" s="23">
        <f>$L$22/8*N24</f>
        <v>38750</v>
      </c>
      <c r="P24" s="23">
        <v>152</v>
      </c>
      <c r="Q24" s="23">
        <f>$L$22/8*P24</f>
        <v>589000</v>
      </c>
      <c r="R24" s="23"/>
      <c r="S24" s="23">
        <f>L24+N24+P24</f>
        <v>194</v>
      </c>
      <c r="T24" s="23">
        <f>M24+O24+Q24</f>
        <v>755750</v>
      </c>
      <c r="U24" s="23"/>
      <c r="V24" s="23"/>
      <c r="W24" s="23"/>
      <c r="X24" s="23"/>
      <c r="Y24" s="23"/>
    </row>
    <row r="25" spans="2:27">
      <c r="B25" s="11">
        <v>2</v>
      </c>
      <c r="C25" s="12" t="s">
        <v>50</v>
      </c>
      <c r="D25" s="23"/>
      <c r="E25" s="23"/>
      <c r="F25" s="23"/>
      <c r="G25" s="23"/>
      <c r="H25" s="23"/>
      <c r="I25" s="23"/>
      <c r="J25" s="23"/>
      <c r="K25" s="23"/>
      <c r="L25" s="26">
        <v>16</v>
      </c>
      <c r="M25" s="23">
        <f t="shared" ref="M25:M36" si="2">$K$22/8*L25</f>
        <v>64000</v>
      </c>
      <c r="N25" s="26">
        <v>59</v>
      </c>
      <c r="O25" s="23">
        <f t="shared" ref="O25:O36" si="3">$L$22/8*N25</f>
        <v>228625</v>
      </c>
      <c r="P25" s="26">
        <v>40</v>
      </c>
      <c r="Q25" s="23">
        <f t="shared" ref="Q25:Q36" si="4">$L$22/8*P25</f>
        <v>155000</v>
      </c>
      <c r="R25" s="23"/>
      <c r="S25" s="23">
        <f t="shared" ref="S25:S36" si="5">L25+N25+P25</f>
        <v>115</v>
      </c>
      <c r="T25" s="23">
        <f t="shared" ref="T25:T36" si="6">M25+O25+Q25</f>
        <v>447625</v>
      </c>
      <c r="U25" s="23"/>
      <c r="V25" s="23"/>
      <c r="W25" s="23"/>
      <c r="X25" s="23"/>
      <c r="Y25" s="23"/>
    </row>
    <row r="26" spans="2:27">
      <c r="B26" s="7">
        <v>3</v>
      </c>
      <c r="C26" s="10" t="s">
        <v>52</v>
      </c>
      <c r="D26" s="23"/>
      <c r="E26" s="23"/>
      <c r="F26" s="23"/>
      <c r="G26" s="23"/>
      <c r="H26" s="23"/>
      <c r="I26" s="23"/>
      <c r="J26" s="23"/>
      <c r="K26" s="23"/>
      <c r="L26" s="28">
        <v>202</v>
      </c>
      <c r="M26" s="23">
        <f t="shared" si="2"/>
        <v>808000</v>
      </c>
      <c r="N26" s="28">
        <v>6</v>
      </c>
      <c r="O26" s="23">
        <f t="shared" si="3"/>
        <v>23250</v>
      </c>
      <c r="P26" s="28">
        <v>8</v>
      </c>
      <c r="Q26" s="23">
        <f t="shared" si="4"/>
        <v>31000</v>
      </c>
      <c r="R26" s="23"/>
      <c r="S26" s="23">
        <f t="shared" si="5"/>
        <v>216</v>
      </c>
      <c r="T26" s="23">
        <f t="shared" si="6"/>
        <v>862250</v>
      </c>
      <c r="U26" s="23"/>
      <c r="V26" s="23"/>
      <c r="W26" s="23"/>
      <c r="X26" s="23"/>
      <c r="Y26" s="23"/>
    </row>
    <row r="27" spans="2:27">
      <c r="B27" s="7">
        <v>4</v>
      </c>
      <c r="C27" s="9" t="s">
        <v>54</v>
      </c>
      <c r="D27" s="23"/>
      <c r="E27" s="23"/>
      <c r="F27" s="23"/>
      <c r="G27" s="23"/>
      <c r="H27" s="23"/>
      <c r="I27" s="23"/>
      <c r="J27" s="23"/>
      <c r="K27" s="23"/>
      <c r="L27" s="28">
        <v>0</v>
      </c>
      <c r="M27" s="23">
        <f t="shared" si="2"/>
        <v>0</v>
      </c>
      <c r="N27" s="28">
        <v>136</v>
      </c>
      <c r="O27" s="23">
        <f t="shared" si="3"/>
        <v>527000</v>
      </c>
      <c r="P27" s="28">
        <v>72</v>
      </c>
      <c r="Q27" s="23">
        <f t="shared" si="4"/>
        <v>279000</v>
      </c>
      <c r="R27" s="23"/>
      <c r="S27" s="23">
        <f t="shared" si="5"/>
        <v>208</v>
      </c>
      <c r="T27" s="23">
        <f t="shared" si="6"/>
        <v>806000</v>
      </c>
      <c r="U27" s="23"/>
      <c r="V27" s="23"/>
      <c r="W27" s="23"/>
      <c r="X27" s="23"/>
      <c r="Y27" s="23"/>
    </row>
    <row r="28" spans="2:27">
      <c r="B28" s="16">
        <v>5</v>
      </c>
      <c r="C28" s="17" t="s">
        <v>55</v>
      </c>
      <c r="D28" s="23"/>
      <c r="E28" s="23"/>
      <c r="F28" s="23"/>
      <c r="G28" s="23"/>
      <c r="H28" s="23"/>
      <c r="I28" s="23"/>
      <c r="J28" s="23"/>
      <c r="K28" s="23"/>
      <c r="L28" s="29">
        <v>4</v>
      </c>
      <c r="M28" s="23">
        <f t="shared" si="2"/>
        <v>16000</v>
      </c>
      <c r="N28" s="29">
        <v>0</v>
      </c>
      <c r="O28" s="23">
        <f t="shared" si="3"/>
        <v>0</v>
      </c>
      <c r="P28" s="29">
        <v>109</v>
      </c>
      <c r="Q28" s="23">
        <f t="shared" si="4"/>
        <v>422375</v>
      </c>
      <c r="R28" s="23"/>
      <c r="S28" s="23">
        <f t="shared" si="5"/>
        <v>113</v>
      </c>
      <c r="T28" s="23">
        <f t="shared" si="6"/>
        <v>438375</v>
      </c>
      <c r="U28" s="23"/>
      <c r="V28" s="23"/>
      <c r="W28" s="23"/>
      <c r="X28" s="23"/>
      <c r="Y28" s="23"/>
    </row>
    <row r="29" spans="2:27">
      <c r="B29" s="16">
        <v>6</v>
      </c>
      <c r="C29" s="19" t="s">
        <v>30</v>
      </c>
      <c r="D29" s="23"/>
      <c r="E29" s="23"/>
      <c r="F29" s="23"/>
      <c r="G29" s="23"/>
      <c r="H29" s="23"/>
      <c r="I29" s="23"/>
      <c r="J29" s="23"/>
      <c r="K29" s="23"/>
      <c r="L29" s="29">
        <v>0</v>
      </c>
      <c r="M29" s="23">
        <f t="shared" si="2"/>
        <v>0</v>
      </c>
      <c r="N29" s="29">
        <v>84</v>
      </c>
      <c r="O29" s="23">
        <f t="shared" si="3"/>
        <v>325500</v>
      </c>
      <c r="P29" s="29">
        <v>2</v>
      </c>
      <c r="Q29" s="23">
        <f t="shared" si="4"/>
        <v>7750</v>
      </c>
      <c r="R29" s="23"/>
      <c r="S29" s="23">
        <f t="shared" si="5"/>
        <v>86</v>
      </c>
      <c r="T29" s="23">
        <f t="shared" si="6"/>
        <v>333250</v>
      </c>
      <c r="U29" s="23"/>
      <c r="V29" s="23"/>
      <c r="W29" s="23"/>
      <c r="X29" s="23"/>
      <c r="Y29" s="23"/>
    </row>
    <row r="30" spans="2:27">
      <c r="B30" s="16">
        <v>7</v>
      </c>
      <c r="C30" s="19" t="s">
        <v>56</v>
      </c>
      <c r="D30" s="23"/>
      <c r="E30" s="23"/>
      <c r="F30" s="23"/>
      <c r="G30" s="23"/>
      <c r="H30" s="23"/>
      <c r="I30" s="23"/>
      <c r="J30" s="23"/>
      <c r="K30" s="23"/>
      <c r="L30" s="29">
        <v>0</v>
      </c>
      <c r="M30" s="23">
        <f t="shared" si="2"/>
        <v>0</v>
      </c>
      <c r="N30" s="29">
        <v>134</v>
      </c>
      <c r="O30" s="23">
        <f t="shared" si="3"/>
        <v>519250</v>
      </c>
      <c r="P30" s="29">
        <v>11</v>
      </c>
      <c r="Q30" s="23">
        <f t="shared" si="4"/>
        <v>42625</v>
      </c>
      <c r="R30" s="23"/>
      <c r="S30" s="23">
        <f t="shared" si="5"/>
        <v>145</v>
      </c>
      <c r="T30" s="23">
        <f t="shared" si="6"/>
        <v>561875</v>
      </c>
      <c r="U30" s="23"/>
      <c r="V30" s="23"/>
      <c r="W30" s="23"/>
      <c r="X30" s="23"/>
      <c r="Y30" s="23"/>
    </row>
    <row r="31" spans="2:27">
      <c r="B31" s="16">
        <v>8</v>
      </c>
      <c r="C31" s="19" t="s">
        <v>32</v>
      </c>
      <c r="D31" s="23"/>
      <c r="E31" s="23"/>
      <c r="F31" s="23"/>
      <c r="G31" s="23"/>
      <c r="H31" s="23"/>
      <c r="I31" s="23"/>
      <c r="J31" s="23"/>
      <c r="K31" s="23"/>
      <c r="L31" s="29">
        <v>41</v>
      </c>
      <c r="M31" s="23">
        <f t="shared" si="2"/>
        <v>164000</v>
      </c>
      <c r="N31" s="29">
        <v>8</v>
      </c>
      <c r="O31" s="23">
        <f t="shared" si="3"/>
        <v>31000</v>
      </c>
      <c r="P31" s="29">
        <v>135</v>
      </c>
      <c r="Q31" s="23">
        <f t="shared" si="4"/>
        <v>523125</v>
      </c>
      <c r="R31" s="23"/>
      <c r="S31" s="23">
        <f t="shared" si="5"/>
        <v>184</v>
      </c>
      <c r="T31" s="23">
        <f t="shared" si="6"/>
        <v>718125</v>
      </c>
      <c r="U31" s="23"/>
      <c r="V31" s="23"/>
      <c r="W31" s="23"/>
      <c r="X31" s="23"/>
      <c r="Y31" s="23"/>
    </row>
    <row r="32" spans="2:27">
      <c r="B32" s="7">
        <v>9</v>
      </c>
      <c r="C32" s="10" t="s">
        <v>34</v>
      </c>
      <c r="D32" s="23"/>
      <c r="E32" s="23"/>
      <c r="F32" s="23"/>
      <c r="G32" s="23"/>
      <c r="H32" s="23"/>
      <c r="I32" s="23"/>
      <c r="J32" s="23"/>
      <c r="K32" s="23"/>
      <c r="L32" s="28">
        <v>0</v>
      </c>
      <c r="M32" s="23">
        <f t="shared" si="2"/>
        <v>0</v>
      </c>
      <c r="N32" s="28">
        <v>216</v>
      </c>
      <c r="O32" s="23">
        <f t="shared" si="3"/>
        <v>837000</v>
      </c>
      <c r="P32" s="28">
        <v>14</v>
      </c>
      <c r="Q32" s="23">
        <f t="shared" si="4"/>
        <v>54250</v>
      </c>
      <c r="R32" s="23"/>
      <c r="S32" s="23">
        <f t="shared" si="5"/>
        <v>230</v>
      </c>
      <c r="T32" s="23">
        <f t="shared" si="6"/>
        <v>891250</v>
      </c>
      <c r="U32" s="23"/>
      <c r="V32" s="23"/>
      <c r="W32" s="23"/>
      <c r="X32" s="23"/>
      <c r="Y32" s="23"/>
    </row>
    <row r="33" spans="2:25">
      <c r="B33" s="7">
        <v>10</v>
      </c>
      <c r="C33" s="10" t="s">
        <v>57</v>
      </c>
      <c r="D33" s="23"/>
      <c r="E33" s="23"/>
      <c r="F33" s="23"/>
      <c r="G33" s="23"/>
      <c r="H33" s="23"/>
      <c r="I33" s="23"/>
      <c r="J33" s="23"/>
      <c r="K33" s="23"/>
      <c r="L33" s="28">
        <v>232</v>
      </c>
      <c r="M33" s="23">
        <f t="shared" si="2"/>
        <v>928000</v>
      </c>
      <c r="N33" s="28">
        <v>22</v>
      </c>
      <c r="O33" s="23">
        <f t="shared" si="3"/>
        <v>85250</v>
      </c>
      <c r="P33" s="28">
        <v>0</v>
      </c>
      <c r="Q33" s="23">
        <f t="shared" si="4"/>
        <v>0</v>
      </c>
      <c r="R33" s="23"/>
      <c r="S33" s="23">
        <f t="shared" si="5"/>
        <v>254</v>
      </c>
      <c r="T33" s="23">
        <f t="shared" si="6"/>
        <v>1013250</v>
      </c>
      <c r="U33" s="23"/>
      <c r="V33" s="23"/>
      <c r="W33" s="23"/>
      <c r="X33" s="23"/>
      <c r="Y33" s="23"/>
    </row>
    <row r="34" spans="2:25">
      <c r="B34" s="7">
        <v>11</v>
      </c>
      <c r="C34" s="10" t="s">
        <v>58</v>
      </c>
      <c r="D34" s="23"/>
      <c r="E34" s="23"/>
      <c r="F34" s="23"/>
      <c r="G34" s="23"/>
      <c r="H34" s="23"/>
      <c r="I34" s="23"/>
      <c r="J34" s="23"/>
      <c r="K34" s="23"/>
      <c r="L34" s="28">
        <v>205</v>
      </c>
      <c r="M34" s="23">
        <f t="shared" si="2"/>
        <v>820000</v>
      </c>
      <c r="N34" s="28">
        <v>4</v>
      </c>
      <c r="O34" s="23">
        <f t="shared" si="3"/>
        <v>15500</v>
      </c>
      <c r="P34" s="28">
        <v>1</v>
      </c>
      <c r="Q34" s="23">
        <f t="shared" si="4"/>
        <v>3875</v>
      </c>
      <c r="R34" s="23"/>
      <c r="S34" s="23">
        <f t="shared" si="5"/>
        <v>210</v>
      </c>
      <c r="T34" s="23">
        <f t="shared" si="6"/>
        <v>839375</v>
      </c>
      <c r="U34" s="23"/>
      <c r="V34" s="23"/>
      <c r="W34" s="23"/>
      <c r="X34" s="23"/>
      <c r="Y34" s="23"/>
    </row>
    <row r="35" spans="2:25">
      <c r="B35" s="7">
        <v>12</v>
      </c>
      <c r="C35" s="10" t="s">
        <v>27</v>
      </c>
      <c r="D35" s="23"/>
      <c r="E35" s="23"/>
      <c r="F35" s="23"/>
      <c r="G35" s="23"/>
      <c r="H35" s="23"/>
      <c r="I35" s="23"/>
      <c r="J35" s="23"/>
      <c r="K35" s="23"/>
      <c r="L35" s="28">
        <v>4</v>
      </c>
      <c r="M35" s="23">
        <f t="shared" si="2"/>
        <v>16000</v>
      </c>
      <c r="N35" s="28">
        <v>32</v>
      </c>
      <c r="O35" s="23">
        <f t="shared" si="3"/>
        <v>124000</v>
      </c>
      <c r="P35" s="28">
        <v>170</v>
      </c>
      <c r="Q35" s="23">
        <f t="shared" si="4"/>
        <v>658750</v>
      </c>
      <c r="R35" s="23"/>
      <c r="S35" s="23">
        <f t="shared" si="5"/>
        <v>206</v>
      </c>
      <c r="T35" s="23">
        <f t="shared" si="6"/>
        <v>798750</v>
      </c>
      <c r="U35" s="23"/>
      <c r="V35" s="23"/>
      <c r="W35" s="23"/>
      <c r="X35" s="23"/>
      <c r="Y35" s="23"/>
    </row>
    <row r="36" spans="2:25">
      <c r="B36" s="7">
        <v>13</v>
      </c>
      <c r="C36" s="10" t="s">
        <v>59</v>
      </c>
      <c r="D36" s="23"/>
      <c r="E36" s="23"/>
      <c r="F36" s="23"/>
      <c r="G36" s="23"/>
      <c r="H36" s="23"/>
      <c r="I36" s="23"/>
      <c r="J36" s="23"/>
      <c r="K36" s="23"/>
      <c r="L36" s="28">
        <v>8</v>
      </c>
      <c r="M36" s="23">
        <f t="shared" si="2"/>
        <v>32000</v>
      </c>
      <c r="N36" s="28">
        <v>33</v>
      </c>
      <c r="O36" s="23">
        <f t="shared" si="3"/>
        <v>127875</v>
      </c>
      <c r="P36" s="28">
        <v>30</v>
      </c>
      <c r="Q36" s="23">
        <f t="shared" si="4"/>
        <v>116250</v>
      </c>
      <c r="R36" s="23"/>
      <c r="S36" s="23">
        <f t="shared" si="5"/>
        <v>71</v>
      </c>
      <c r="T36" s="23">
        <f t="shared" si="6"/>
        <v>276125</v>
      </c>
      <c r="U36" s="23"/>
      <c r="V36" s="23"/>
      <c r="W36" s="23"/>
      <c r="X36" s="23"/>
      <c r="Y36" s="23"/>
    </row>
    <row r="37" spans="2:25">
      <c r="B37" s="5"/>
      <c r="C37" s="21"/>
      <c r="D37" s="24"/>
      <c r="E37" s="24"/>
      <c r="F37" s="24"/>
      <c r="G37" s="24"/>
      <c r="H37" s="24"/>
      <c r="I37" s="24"/>
      <c r="J37" s="24"/>
      <c r="K37" s="24"/>
      <c r="L37" s="24">
        <f t="shared" ref="L37:Q37" si="7">SUM(L24:L36)</f>
        <v>744</v>
      </c>
      <c r="M37" s="24">
        <f t="shared" si="7"/>
        <v>2976000</v>
      </c>
      <c r="N37" s="24">
        <f t="shared" si="7"/>
        <v>744</v>
      </c>
      <c r="O37" s="24">
        <f t="shared" si="7"/>
        <v>2883000</v>
      </c>
      <c r="P37" s="24">
        <f t="shared" si="7"/>
        <v>744</v>
      </c>
      <c r="Q37" s="24">
        <f t="shared" si="7"/>
        <v>2883000</v>
      </c>
      <c r="R37" s="24"/>
      <c r="S37" s="24">
        <f>SUM(S24:S36)</f>
        <v>2232</v>
      </c>
      <c r="T37" s="24">
        <f>SUM(T24:T36)</f>
        <v>8742000</v>
      </c>
      <c r="U37" s="24"/>
      <c r="V37" s="24"/>
      <c r="W37" s="24"/>
      <c r="X37" s="24"/>
      <c r="Y37" s="24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12"/>
  <sheetViews>
    <sheetView workbookViewId="0">
      <selection activeCell="F21" sqref="F21"/>
    </sheetView>
  </sheetViews>
  <sheetFormatPr defaultColWidth="9" defaultRowHeight="15"/>
  <cols>
    <col min="9" max="9" width="18.140625" customWidth="1"/>
  </cols>
  <sheetData>
    <row r="1" spans="1:10">
      <c r="A1" t="s">
        <v>66</v>
      </c>
    </row>
    <row r="2" spans="1:10">
      <c r="A2" t="s">
        <v>67</v>
      </c>
      <c r="B2" t="s">
        <v>68</v>
      </c>
      <c r="F2" s="1" t="s">
        <v>69</v>
      </c>
      <c r="I2" s="1" t="s">
        <v>70</v>
      </c>
      <c r="J2" s="1" t="s">
        <v>71</v>
      </c>
    </row>
    <row r="3" spans="1:10">
      <c r="A3">
        <v>35000</v>
      </c>
      <c r="B3">
        <v>34000</v>
      </c>
      <c r="F3">
        <v>0</v>
      </c>
      <c r="I3" s="3">
        <f>Sheet1!B3</f>
        <v>45658</v>
      </c>
    </row>
    <row r="4" spans="1:10">
      <c r="I4" s="4">
        <f>EOMONTH(I3,0)</f>
        <v>45688</v>
      </c>
      <c r="J4">
        <v>3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2">
        <f>A11/8</f>
        <v>2187.5</v>
      </c>
      <c r="B12" s="2" t="s">
        <v>72</v>
      </c>
      <c r="C12" s="2"/>
      <c r="D12" s="2"/>
      <c r="E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2025-01-09T08:11:00Z</cp:lastPrinted>
  <dcterms:created xsi:type="dcterms:W3CDTF">2022-07-05T15:57:00Z</dcterms:created>
  <dcterms:modified xsi:type="dcterms:W3CDTF">2025-02-07T02:33:41Z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8C6D8E10CC9F4707959DEB79809002C5_12</vt:lpwstr>
  </property>
  <property fmtid="{D5CDD505-2E9C-101B-9397-08002B2CF9AE}" pid="3" name="KSOProductBuildVer">
    <vt:lpwstr>1057-12.2.0.19805</vt:lpwstr>
  </property>
</Properties>
</file>