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2\"/>
    </mc:Choice>
  </mc:AlternateContent>
  <xr:revisionPtr revIDLastSave="0" documentId="13_ncr:1_{E2A4F788-B244-4BAF-AF0E-A53116B16E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U6" i="1"/>
  <c r="S14" i="1"/>
  <c r="T7" i="1"/>
  <c r="S6" i="1"/>
  <c r="X5" i="1"/>
  <c r="X7" i="1"/>
  <c r="X8" i="1"/>
  <c r="F29" i="1" l="1"/>
  <c r="Y28" i="1"/>
  <c r="Z28" i="1" s="1"/>
  <c r="Y29" i="1" l="1"/>
  <c r="Z29" i="1" s="1"/>
  <c r="P14" i="1" l="1"/>
  <c r="R5" i="1" l="1"/>
  <c r="R6" i="1"/>
  <c r="AL19" i="1"/>
  <c r="X16" i="1" l="1"/>
  <c r="X15" i="1"/>
  <c r="X14" i="1"/>
  <c r="X13" i="1"/>
  <c r="R8" i="1" l="1"/>
  <c r="R9" i="1"/>
  <c r="R10" i="1"/>
  <c r="R11" i="1"/>
  <c r="R12" i="1"/>
  <c r="R13" i="1"/>
  <c r="R14" i="1"/>
  <c r="R15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P10" i="1"/>
  <c r="P9" i="1"/>
  <c r="S9" i="1" s="1"/>
  <c r="P8" i="1"/>
  <c r="P7" i="1"/>
  <c r="P6" i="1"/>
  <c r="U5" i="1"/>
  <c r="X9" i="1"/>
  <c r="S15" i="1" l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U14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S11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U9" authorId="0" shapeId="0" xr:uid="{380D97A3-51DA-4AB5-949D-2693278DFFFF}">
      <text>
        <r>
          <rPr>
            <b/>
            <sz val="9"/>
            <color indexed="81"/>
            <rFont val="Tahoma"/>
            <family val="2"/>
          </rPr>
          <t>thomas:</t>
        </r>
        <r>
          <rPr>
            <sz val="9"/>
            <color indexed="81"/>
            <rFont val="Tahoma"/>
            <family val="2"/>
          </rPr>
          <t xml:space="preserve">
hafis rapel februari</t>
        </r>
      </text>
    </comment>
    <comment ref="U13" authorId="0" shapeId="0" xr:uid="{A47EABC1-3D17-4B98-8BDD-899FB052FFFA}">
      <text>
        <r>
          <rPr>
            <b/>
            <sz val="9"/>
            <color indexed="81"/>
            <rFont val="Tahoma"/>
            <family val="2"/>
          </rPr>
          <t>thomas:</t>
        </r>
        <r>
          <rPr>
            <sz val="9"/>
            <color indexed="81"/>
            <rFont val="Tahoma"/>
            <family val="2"/>
          </rPr>
          <t xml:space="preserve">
ridwan 
dirapel bulan februari</t>
        </r>
      </text>
    </comment>
  </commentList>
</comments>
</file>

<file path=xl/sharedStrings.xml><?xml version="1.0" encoding="utf-8"?>
<sst xmlns="http://schemas.openxmlformats.org/spreadsheetml/2006/main" count="211" uniqueCount="77">
  <si>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</si>
  <si>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</si>
  <si>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</si>
  <si>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</si>
  <si>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</si>
  <si>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</si>
  <si>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</si>
  <si>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</si>
  <si>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</si>
  <si>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</si>
  <si>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</si>
  <si>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</si>
  <si>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</si>
  <si>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</si>
  <si>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</si>
  <si>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</si>
  <si>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</si>
  <si>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</si>
  <si>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</si>
  <si>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</si>
  <si>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</si>
  <si>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</si>
  <si>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</si>
  <si>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</si>
  <si>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</si>
  <si>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</si>
  <si>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</si>
  <si>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</si>
  <si>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</si>
  <si>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</si>
  <si>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</si>
  <si>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</si>
  <si>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</si>
  <si>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</si>
  <si>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</si>
  <si>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</si>
  <si>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</si>
  <si>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</si>
  <si>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</si>
  <si>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</si>
  <si>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</si>
  <si>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</si>
  <si>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</si>
  <si>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</si>
  <si>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</si>
  <si>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</si>
  <si>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</si>
  <si>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</si>
  <si>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</si>
  <si>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</si>
  <si>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</si>
  <si>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</si>
  <si>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</si>
  <si>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</si>
  <si>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</si>
  <si>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</si>
  <si>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</si>
  <si>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</si>
  <si>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</si>
  <si>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</si>
  <si>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</si>
  <si>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</si>
  <si>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</si>
  <si>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</si>
  <si>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</si>
  <si>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</si>
  <si>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</si>
  <si>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</si>
  <si>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</si>
  <si>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</si>
  <si>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</si>
  <si>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insentif natal</t>
  </si>
  <si>
    <t>Alfred</t>
  </si>
  <si>
    <t>pelatihan - meeting</t>
  </si>
  <si>
    <t>Awang</t>
  </si>
  <si>
    <t>Hafis</t>
  </si>
  <si>
    <t>riniroma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</si>
</sst>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7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1F3964"/>
      <name val="Arial"/>
      <charset val="134"/>
    </font>
    <font>
      <sz val="10"/>
      <color rgb="FF1F3964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Verdana"/>
      <family val="2"/>
    </font>
    <font>
      <sz val="14"/>
      <color rgb="FFFF0000"/>
      <name val="Verdana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164" fontId="28" fillId="0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2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164" fontId="34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right" vertical="center"/>
    </xf>
    <xf numFmtId="164" fontId="36" fillId="0" borderId="1" xfId="2" applyFont="1" applyFill="1" applyBorder="1" applyAlignment="1">
      <alignment horizontal="right" vertical="center" wrapText="1"/>
    </xf>
    <xf numFmtId="164" fontId="31" fillId="0" borderId="1" xfId="2" applyFont="1" applyFill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B1" zoomScale="85" zoomScaleNormal="85" workbookViewId="0">
      <selection activeCell="Q30" sqref="Q30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11" bestFit="1" customWidth="1"/>
    <col min="15" max="15" width="9.85546875" customWidth="1"/>
    <col min="16" max="16" width="10.85546875" customWidth="1"/>
    <col min="17" max="17" width="15.42578125" bestFit="1" customWidth="1"/>
    <col min="18" max="18" width="13.28515625" bestFit="1" customWidth="1"/>
    <col min="19" max="19" width="14.42578125" bestFit="1" customWidth="1"/>
    <col min="20" max="21" width="13.28515625" bestFit="1" customWidth="1"/>
    <col min="22" max="22" width="12.7109375" customWidth="1"/>
    <col min="23" max="23" width="12.85546875" hidden="1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>
      <c r="A3" s="24"/>
      <c r="B3" s="149">
        <v>45658</v>
      </c>
      <c r="C3" s="149"/>
      <c r="D3" s="14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71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53" t="s">
        <v>37</v>
      </c>
      <c r="AJ4" s="154"/>
      <c r="AL4" s="42" t="s">
        <v>63</v>
      </c>
    </row>
    <row r="5" spans="1:42" s="81" customFormat="1" ht="26.1" customHeight="1">
      <c r="A5" s="90"/>
      <c r="B5" s="2">
        <v>1</v>
      </c>
      <c r="C5" s="126" t="s">
        <v>72</v>
      </c>
      <c r="D5" s="126" t="s">
        <v>25</v>
      </c>
      <c r="E5" s="127" t="s">
        <v>73</v>
      </c>
      <c r="F5" s="127"/>
      <c r="G5" s="127"/>
      <c r="H5" s="127"/>
      <c r="I5" s="119" t="s">
        <v>50</v>
      </c>
      <c r="J5" s="127">
        <v>1</v>
      </c>
      <c r="K5" s="127"/>
      <c r="L5" s="128">
        <v>131</v>
      </c>
      <c r="M5" s="128">
        <v>5</v>
      </c>
      <c r="N5" s="128">
        <v>18</v>
      </c>
      <c r="O5" s="128"/>
      <c r="P5" s="104">
        <f t="shared" ref="P5:P18" si="0">SUM(L5:O5)</f>
        <v>154</v>
      </c>
      <c r="Q5" s="103">
        <f>((data!$A$3/8)*L5)+((data!$B$3/8)*(M5+N5+O5))+(P5*$E$25)</f>
        <v>670875</v>
      </c>
      <c r="R5" s="103">
        <f t="shared" ref="R5:R15" si="1">IF(D5="Percobaan",0,IF(AND(E5="",G5&gt;0,H5="ok"),100000,IF(AND(E5="",G5&gt;0,H5=""),50000,IF(AND(E5=""),100000,0))))</f>
        <v>0</v>
      </c>
      <c r="S5" s="103">
        <f t="shared" ref="S5:S6" si="2">((P5/8)*1000)</f>
        <v>19250</v>
      </c>
      <c r="T5" s="103">
        <f t="shared" ref="T5:T7" si="3">IF(AND(G5&gt;0,H5=""),50000,IF(AND(G5&gt;0,H5="ok"),G5*50000,0))</f>
        <v>0</v>
      </c>
      <c r="U5" s="103">
        <f>IF(I5="+",P5/8*3000,IF(I5="-",0,P5/8*2000))</f>
        <v>0</v>
      </c>
      <c r="V5" s="94">
        <f t="shared" ref="V5:V7" si="4">J5*-12500</f>
        <v>-12500</v>
      </c>
      <c r="W5" s="103"/>
      <c r="X5" s="103">
        <f t="shared" ref="X5:X8" si="5">IF(K5="ok",50000+AB5,0+AB5)</f>
        <v>0</v>
      </c>
      <c r="Y5" s="103">
        <v>8000</v>
      </c>
      <c r="Z5" s="103">
        <f t="shared" ref="Z5:Z16" si="6">CEILING(SUM(Q5:Y5),500)</f>
        <v>686000</v>
      </c>
      <c r="AE5" s="81">
        <f t="shared" ref="AE5:AE16" si="7">P5/8</f>
        <v>19.25</v>
      </c>
      <c r="AG5" s="81">
        <f t="shared" ref="AG5:AG11" si="8">AE5-AF5</f>
        <v>19.25</v>
      </c>
      <c r="AH5" s="81">
        <f>AE5+AJ5</f>
        <v>30.25</v>
      </c>
      <c r="AI5" s="129">
        <v>88</v>
      </c>
      <c r="AJ5" s="81">
        <f>AI5/8</f>
        <v>11</v>
      </c>
      <c r="AL5" s="112">
        <v>1037500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>
      <c r="A6" s="90"/>
      <c r="B6" s="2">
        <v>2</v>
      </c>
      <c r="C6" s="126" t="s">
        <v>74</v>
      </c>
      <c r="D6" s="126" t="s">
        <v>25</v>
      </c>
      <c r="E6" s="127"/>
      <c r="F6" s="127"/>
      <c r="G6" s="127"/>
      <c r="H6" s="127"/>
      <c r="I6" s="119"/>
      <c r="J6" s="127"/>
      <c r="K6" s="127"/>
      <c r="L6" s="128">
        <v>10</v>
      </c>
      <c r="M6" s="128"/>
      <c r="N6" s="128">
        <v>48</v>
      </c>
      <c r="O6" s="128"/>
      <c r="P6" s="104">
        <f t="shared" si="0"/>
        <v>58</v>
      </c>
      <c r="Q6" s="103">
        <f>((data!$A$3/8)*L6)+((data!$B$3/8)*(M6+N6+O6))+(P6*$E$25)</f>
        <v>247750</v>
      </c>
      <c r="R6" s="103">
        <f t="shared" si="1"/>
        <v>0</v>
      </c>
      <c r="S6" s="103">
        <f t="shared" si="2"/>
        <v>7250</v>
      </c>
      <c r="T6" s="103">
        <f t="shared" si="3"/>
        <v>0</v>
      </c>
      <c r="U6" s="103">
        <f>IF(I6="+",P6/8*3000,IF(I6="-",0,P6/8*2000))</f>
        <v>14500</v>
      </c>
      <c r="V6" s="94">
        <f t="shared" si="4"/>
        <v>0</v>
      </c>
      <c r="W6" s="103"/>
      <c r="X6" s="103">
        <v>90000</v>
      </c>
      <c r="Y6" s="103">
        <v>2500</v>
      </c>
      <c r="Z6" s="103">
        <f t="shared" si="6"/>
        <v>362000</v>
      </c>
      <c r="AE6" s="81">
        <f t="shared" si="7"/>
        <v>7.25</v>
      </c>
      <c r="AG6" s="81">
        <f t="shared" si="8"/>
        <v>7.25</v>
      </c>
      <c r="AH6" s="81">
        <f t="shared" ref="AH6:AH16" si="9">AE6+AJ6</f>
        <v>7.25</v>
      </c>
      <c r="AI6" s="28"/>
      <c r="AJ6" s="81">
        <f t="shared" ref="AJ6:AJ15" si="10">AI6/8</f>
        <v>0</v>
      </c>
      <c r="AL6" s="112">
        <v>834000</v>
      </c>
      <c r="AM6" s="81" t="str">
        <f t="shared" ref="AM6:AM18" si="11">C6</f>
        <v>Awang</v>
      </c>
      <c r="AO6" s="11"/>
      <c r="AP6" s="81">
        <f t="shared" ref="AP6:AP17" si="12">AO6*AN6</f>
        <v>0</v>
      </c>
    </row>
    <row r="7" spans="1:42" s="81" customFormat="1" ht="26.1" customHeight="1">
      <c r="A7" s="90"/>
      <c r="B7" s="2">
        <v>3</v>
      </c>
      <c r="C7" s="130" t="s">
        <v>35</v>
      </c>
      <c r="D7" s="126" t="s">
        <v>3</v>
      </c>
      <c r="E7" s="131" t="s">
        <v>52</v>
      </c>
      <c r="F7" s="131" t="s">
        <v>65</v>
      </c>
      <c r="G7" s="131">
        <v>1</v>
      </c>
      <c r="H7" s="131"/>
      <c r="I7" s="119" t="s">
        <v>53</v>
      </c>
      <c r="J7" s="127">
        <v>1</v>
      </c>
      <c r="K7" s="131"/>
      <c r="L7" s="128">
        <v>67</v>
      </c>
      <c r="M7" s="128">
        <v>40</v>
      </c>
      <c r="N7" s="128">
        <v>127</v>
      </c>
      <c r="O7" s="132"/>
      <c r="P7" s="104">
        <f t="shared" si="0"/>
        <v>234</v>
      </c>
      <c r="Q7" s="103">
        <f>((data!$A$3/8)*L7)+((data!$B$3/8)*(M7+N7+O7))+(P7*$E$25)</f>
        <v>1002875</v>
      </c>
      <c r="R7" s="103">
        <f t="shared" si="1"/>
        <v>0</v>
      </c>
      <c r="S7" s="103"/>
      <c r="T7" s="103">
        <f t="shared" si="3"/>
        <v>50000</v>
      </c>
      <c r="U7" s="103">
        <f>IF(I7="+",P7/8*3000,IF(I7="-",0,P7/8*2000))</f>
        <v>87750</v>
      </c>
      <c r="V7" s="94">
        <f t="shared" si="4"/>
        <v>-12500</v>
      </c>
      <c r="W7" s="103"/>
      <c r="X7" s="103">
        <f t="shared" si="5"/>
        <v>0</v>
      </c>
      <c r="Y7" s="103">
        <v>3000</v>
      </c>
      <c r="Z7" s="103">
        <f t="shared" si="6"/>
        <v>1131500</v>
      </c>
      <c r="AE7" s="81">
        <f t="shared" si="7"/>
        <v>29.25</v>
      </c>
      <c r="AG7" s="81">
        <f t="shared" si="8"/>
        <v>29.25</v>
      </c>
      <c r="AH7" s="81">
        <f t="shared" si="9"/>
        <v>32.25</v>
      </c>
      <c r="AI7" s="28">
        <v>24</v>
      </c>
      <c r="AJ7" s="81">
        <f t="shared" si="10"/>
        <v>3</v>
      </c>
      <c r="AL7" s="112">
        <v>610500</v>
      </c>
      <c r="AM7" s="81" t="str">
        <f t="shared" si="11"/>
        <v>Arif</v>
      </c>
      <c r="AO7" s="11"/>
      <c r="AP7" s="81">
        <f t="shared" si="12"/>
        <v>0</v>
      </c>
    </row>
    <row r="8" spans="1:42" s="48" customFormat="1" ht="26.1" customHeight="1">
      <c r="A8" s="91"/>
      <c r="B8" s="101">
        <v>4</v>
      </c>
      <c r="C8" s="120" t="s">
        <v>67</v>
      </c>
      <c r="D8" s="121" t="s">
        <v>3</v>
      </c>
      <c r="E8" s="122"/>
      <c r="F8" s="122"/>
      <c r="G8" s="122"/>
      <c r="H8" s="122"/>
      <c r="I8" s="123" t="s">
        <v>53</v>
      </c>
      <c r="J8" s="124">
        <v>1</v>
      </c>
      <c r="K8" s="122" t="s">
        <v>23</v>
      </c>
      <c r="L8" s="125">
        <v>44</v>
      </c>
      <c r="M8" s="125">
        <v>36</v>
      </c>
      <c r="N8" s="125">
        <v>156</v>
      </c>
      <c r="O8" s="125"/>
      <c r="P8" s="105">
        <f>SUM(L8:O8)</f>
        <v>236</v>
      </c>
      <c r="Q8" s="84">
        <f>((data!$A$3/8)*L8)+((data!$B$3/8)*(M8+N8+O8))+(P8*$E$25)</f>
        <v>1008500</v>
      </c>
      <c r="R8" s="84">
        <f t="shared" si="1"/>
        <v>100000</v>
      </c>
      <c r="S8" s="84">
        <f t="shared" ref="S8:S17" si="13">((P8/8)*1000)</f>
        <v>29500</v>
      </c>
      <c r="T8" s="84">
        <f t="shared" ref="T8:T16" si="14">IF(AND(G8&gt;0,H8=""),50000,IF(AND(G8&gt;0,H8="ok"),G8*50000,0))</f>
        <v>0</v>
      </c>
      <c r="U8" s="84">
        <f>IF(I8="+",P8/8*3000,IF(I8="-",0,P8/8*2000))</f>
        <v>88500</v>
      </c>
      <c r="V8" s="93">
        <f t="shared" ref="V8:V16" si="15">J8*-12500</f>
        <v>-12500</v>
      </c>
      <c r="W8" s="84"/>
      <c r="X8" s="84">
        <f t="shared" si="5"/>
        <v>50000</v>
      </c>
      <c r="Y8" s="84">
        <v>87500</v>
      </c>
      <c r="Z8" s="84">
        <f t="shared" si="6"/>
        <v>1351500</v>
      </c>
      <c r="AE8" s="48">
        <f t="shared" si="7"/>
        <v>29.5</v>
      </c>
      <c r="AG8" s="48">
        <f t="shared" si="8"/>
        <v>29.5</v>
      </c>
      <c r="AH8" s="48">
        <f t="shared" si="9"/>
        <v>29.5</v>
      </c>
      <c r="AI8" s="102"/>
      <c r="AJ8" s="48">
        <f t="shared" si="10"/>
        <v>0</v>
      </c>
      <c r="AL8" s="113">
        <v>637500</v>
      </c>
      <c r="AM8" s="48" t="str">
        <f t="shared" ref="AM8:AM15" si="16">C8</f>
        <v>Gilang</v>
      </c>
      <c r="AO8" s="92"/>
      <c r="AP8" s="48">
        <f t="shared" si="12"/>
        <v>0</v>
      </c>
    </row>
    <row r="9" spans="1:42" s="81" customFormat="1" ht="26.1" customHeight="1">
      <c r="A9" s="90"/>
      <c r="B9" s="2">
        <v>5</v>
      </c>
      <c r="C9" s="126" t="s">
        <v>75</v>
      </c>
      <c r="D9" s="126" t="s">
        <v>25</v>
      </c>
      <c r="E9" s="127" t="s">
        <v>73</v>
      </c>
      <c r="F9" s="131"/>
      <c r="G9" s="131"/>
      <c r="H9" s="131"/>
      <c r="I9" s="119" t="s">
        <v>53</v>
      </c>
      <c r="J9" s="127">
        <v>1</v>
      </c>
      <c r="K9" s="131" t="s">
        <v>23</v>
      </c>
      <c r="L9" s="132">
        <v>34</v>
      </c>
      <c r="M9" s="132">
        <v>32</v>
      </c>
      <c r="N9" s="132">
        <v>154</v>
      </c>
      <c r="O9" s="132"/>
      <c r="P9" s="104">
        <f t="shared" si="0"/>
        <v>220</v>
      </c>
      <c r="Q9" s="103">
        <f>((data!$A$3/8)*L9)+((data!$B$3/8)*(M9+N9+O9))+(P9*$E$25)</f>
        <v>939250</v>
      </c>
      <c r="R9" s="103">
        <f t="shared" si="1"/>
        <v>0</v>
      </c>
      <c r="S9" s="103">
        <f t="shared" si="13"/>
        <v>27500</v>
      </c>
      <c r="T9" s="103">
        <v>0</v>
      </c>
      <c r="U9" s="103">
        <f t="shared" ref="U9:U14" si="17">IF(OR(D9="Percobaan",D9=""),0,IF(I9="+",P9/8*3000,IF(I9="-",0,P9/8*2000)))</f>
        <v>0</v>
      </c>
      <c r="V9" s="94">
        <f t="shared" si="15"/>
        <v>-12500</v>
      </c>
      <c r="W9" s="103"/>
      <c r="X9" s="103">
        <f>IF(K9="ok",50000+AB9,0+AB9)</f>
        <v>50000</v>
      </c>
      <c r="Y9" s="103">
        <v>44500</v>
      </c>
      <c r="Z9" s="103">
        <f t="shared" si="6"/>
        <v>1049000</v>
      </c>
      <c r="AE9" s="81">
        <f t="shared" si="7"/>
        <v>27.5</v>
      </c>
      <c r="AG9" s="81">
        <f t="shared" si="8"/>
        <v>27.5</v>
      </c>
      <c r="AH9" s="81">
        <f t="shared" si="9"/>
        <v>29.5</v>
      </c>
      <c r="AI9" s="28">
        <v>16</v>
      </c>
      <c r="AJ9" s="81">
        <f t="shared" si="10"/>
        <v>2</v>
      </c>
      <c r="AL9" s="112">
        <v>398500</v>
      </c>
      <c r="AM9" s="81" t="str">
        <f t="shared" si="16"/>
        <v>Hafis</v>
      </c>
      <c r="AO9" s="11"/>
      <c r="AP9" s="81">
        <f t="shared" si="12"/>
        <v>0</v>
      </c>
    </row>
    <row r="10" spans="1:42" s="81" customFormat="1" ht="26.1" customHeight="1">
      <c r="A10" s="90"/>
      <c r="B10" s="2">
        <v>6</v>
      </c>
      <c r="C10" s="126" t="s">
        <v>27</v>
      </c>
      <c r="D10" s="126" t="s">
        <v>3</v>
      </c>
      <c r="E10" s="127"/>
      <c r="F10" s="131" t="s">
        <v>65</v>
      </c>
      <c r="G10" s="131">
        <v>4</v>
      </c>
      <c r="H10" s="131" t="s">
        <v>23</v>
      </c>
      <c r="I10" s="119" t="s">
        <v>53</v>
      </c>
      <c r="J10" s="127">
        <v>1</v>
      </c>
      <c r="K10" s="131" t="s">
        <v>23</v>
      </c>
      <c r="L10" s="132"/>
      <c r="M10" s="133">
        <v>230</v>
      </c>
      <c r="N10" s="132"/>
      <c r="O10" s="132"/>
      <c r="P10" s="104">
        <f t="shared" si="0"/>
        <v>230</v>
      </c>
      <c r="Q10" s="103">
        <f>((data!$A$3/8)*L10)+((data!$B$3/8)*(M10+N10+O10))+(P10*$E$25)</f>
        <v>977500</v>
      </c>
      <c r="R10" s="103">
        <f t="shared" si="1"/>
        <v>100000</v>
      </c>
      <c r="S10" s="103"/>
      <c r="T10" s="103">
        <f t="shared" si="14"/>
        <v>200000</v>
      </c>
      <c r="U10" s="103">
        <f t="shared" si="17"/>
        <v>86250</v>
      </c>
      <c r="V10" s="94">
        <f t="shared" si="15"/>
        <v>-12500</v>
      </c>
      <c r="W10" s="103"/>
      <c r="X10" s="103">
        <f>IF(K10="ok",50000+AB10,0+AB10)</f>
        <v>50000</v>
      </c>
      <c r="Y10" s="103">
        <v>18000</v>
      </c>
      <c r="Z10" s="103">
        <f t="shared" si="6"/>
        <v>1419500</v>
      </c>
      <c r="AE10" s="81">
        <f t="shared" si="7"/>
        <v>28.75</v>
      </c>
      <c r="AG10" s="81">
        <f t="shared" si="8"/>
        <v>28.75</v>
      </c>
      <c r="AH10" s="81">
        <f t="shared" si="9"/>
        <v>28.75</v>
      </c>
      <c r="AI10" s="28"/>
      <c r="AJ10" s="81">
        <f t="shared" si="10"/>
        <v>0</v>
      </c>
      <c r="AL10" s="112">
        <v>1281500</v>
      </c>
      <c r="AM10" s="81" t="str">
        <f t="shared" si="16"/>
        <v>Henbediona</v>
      </c>
      <c r="AO10" s="11"/>
      <c r="AP10" s="81">
        <f t="shared" si="12"/>
        <v>0</v>
      </c>
    </row>
    <row r="11" spans="1:42" s="81" customFormat="1" ht="26.1" customHeight="1">
      <c r="A11" s="90"/>
      <c r="B11" s="2">
        <v>7</v>
      </c>
      <c r="C11" s="141" t="s">
        <v>29</v>
      </c>
      <c r="D11" s="142" t="s">
        <v>3</v>
      </c>
      <c r="E11" s="143"/>
      <c r="F11" s="143"/>
      <c r="G11" s="143">
        <v>3</v>
      </c>
      <c r="H11" s="143" t="s">
        <v>23</v>
      </c>
      <c r="I11" s="144"/>
      <c r="J11" s="145">
        <v>1</v>
      </c>
      <c r="K11" s="143"/>
      <c r="L11" s="146">
        <v>16</v>
      </c>
      <c r="M11" s="146">
        <v>36</v>
      </c>
      <c r="N11" s="146">
        <v>134</v>
      </c>
      <c r="O11" s="146"/>
      <c r="P11" s="147">
        <f t="shared" si="0"/>
        <v>186</v>
      </c>
      <c r="Q11" s="148">
        <f>((data!$A$3/8)*L11)+((data!$B$3/8)*(M11+N11+O11))+(P11*$E$25)</f>
        <v>792500</v>
      </c>
      <c r="R11" s="148">
        <f t="shared" si="1"/>
        <v>100000</v>
      </c>
      <c r="S11" s="148">
        <f t="shared" si="13"/>
        <v>23250</v>
      </c>
      <c r="T11" s="148">
        <f t="shared" si="14"/>
        <v>150000</v>
      </c>
      <c r="U11" s="148">
        <f t="shared" si="17"/>
        <v>46500</v>
      </c>
      <c r="V11" s="94">
        <f t="shared" si="15"/>
        <v>-12500</v>
      </c>
      <c r="W11" s="103"/>
      <c r="X11" s="103">
        <f>IF(K11="ok",50000+AB11,0+AB11)</f>
        <v>0</v>
      </c>
      <c r="Y11" s="103">
        <v>121000</v>
      </c>
      <c r="Z11" s="103">
        <f t="shared" si="6"/>
        <v>1221000</v>
      </c>
      <c r="AE11" s="81">
        <f t="shared" si="7"/>
        <v>23.25</v>
      </c>
      <c r="AG11" s="81">
        <f t="shared" si="8"/>
        <v>23.25</v>
      </c>
      <c r="AH11" s="81">
        <f t="shared" si="9"/>
        <v>28.25</v>
      </c>
      <c r="AI11" s="28">
        <v>40</v>
      </c>
      <c r="AJ11" s="81">
        <f t="shared" si="10"/>
        <v>5</v>
      </c>
      <c r="AL11" s="112">
        <v>1120500</v>
      </c>
      <c r="AM11" s="81" t="str">
        <f t="shared" si="16"/>
        <v>Reza</v>
      </c>
      <c r="AO11" s="11"/>
      <c r="AP11" s="81">
        <f t="shared" si="12"/>
        <v>0</v>
      </c>
    </row>
    <row r="12" spans="1:42" s="109" customFormat="1" ht="26.1" customHeight="1">
      <c r="A12" s="106"/>
      <c r="B12" s="107">
        <v>8</v>
      </c>
      <c r="C12" s="130" t="s">
        <v>76</v>
      </c>
      <c r="D12" s="126" t="s">
        <v>3</v>
      </c>
      <c r="E12" s="127"/>
      <c r="F12" s="131"/>
      <c r="G12" s="131">
        <v>2</v>
      </c>
      <c r="H12" s="131" t="s">
        <v>23</v>
      </c>
      <c r="I12" s="119" t="s">
        <v>53</v>
      </c>
      <c r="J12" s="127">
        <v>1</v>
      </c>
      <c r="K12" s="131" t="s">
        <v>23</v>
      </c>
      <c r="L12" s="132">
        <v>240</v>
      </c>
      <c r="M12" s="132">
        <v>6</v>
      </c>
      <c r="N12" s="132"/>
      <c r="O12" s="132"/>
      <c r="P12" s="104">
        <f t="shared" si="0"/>
        <v>246</v>
      </c>
      <c r="Q12" s="86">
        <f>((data!$A$3/8)*L12)+((data!$B$3/8)*(M12+N12+O12))+(P12*$E$25)</f>
        <v>1075500</v>
      </c>
      <c r="R12" s="103">
        <f t="shared" si="1"/>
        <v>100000</v>
      </c>
      <c r="S12" s="86">
        <f t="shared" si="13"/>
        <v>30750</v>
      </c>
      <c r="T12" s="86">
        <f t="shared" si="14"/>
        <v>100000</v>
      </c>
      <c r="U12" s="86">
        <f t="shared" si="17"/>
        <v>92250</v>
      </c>
      <c r="V12" s="108">
        <f t="shared" si="15"/>
        <v>-12500</v>
      </c>
      <c r="W12" s="108"/>
      <c r="X12" s="86">
        <f>IF(K12="ok",50000+AB12,0+AB12)</f>
        <v>50000</v>
      </c>
      <c r="Y12" s="86">
        <v>3500</v>
      </c>
      <c r="Z12" s="86">
        <f t="shared" si="6"/>
        <v>1439500</v>
      </c>
      <c r="AE12" s="109">
        <f t="shared" si="7"/>
        <v>30.75</v>
      </c>
      <c r="AF12" s="81"/>
      <c r="AG12" s="109">
        <f t="shared" ref="AG12:AG16" si="18">AE12-AF12</f>
        <v>30.75</v>
      </c>
      <c r="AH12" s="81">
        <f t="shared" si="9"/>
        <v>30.75</v>
      </c>
      <c r="AI12" s="134"/>
      <c r="AJ12" s="81">
        <f t="shared" si="10"/>
        <v>0</v>
      </c>
      <c r="AL12" s="114">
        <v>1195000</v>
      </c>
      <c r="AM12" s="109" t="str">
        <f t="shared" si="16"/>
        <v>riniroma</v>
      </c>
      <c r="AO12" s="110"/>
      <c r="AP12" s="109">
        <f t="shared" si="12"/>
        <v>0</v>
      </c>
    </row>
    <row r="13" spans="1:42" s="81" customFormat="1" ht="26.1" customHeight="1">
      <c r="A13" s="90"/>
      <c r="B13" s="2">
        <v>9</v>
      </c>
      <c r="C13" s="141" t="s">
        <v>30</v>
      </c>
      <c r="D13" s="126" t="s">
        <v>25</v>
      </c>
      <c r="E13" s="127" t="s">
        <v>73</v>
      </c>
      <c r="F13" s="131" t="s">
        <v>65</v>
      </c>
      <c r="G13" s="131"/>
      <c r="H13" s="131"/>
      <c r="I13" s="119" t="s">
        <v>53</v>
      </c>
      <c r="J13" s="127">
        <v>1</v>
      </c>
      <c r="K13" s="131"/>
      <c r="L13" s="133">
        <v>216</v>
      </c>
      <c r="M13" s="132">
        <v>5</v>
      </c>
      <c r="N13" s="132"/>
      <c r="O13" s="132"/>
      <c r="P13" s="111">
        <f t="shared" si="0"/>
        <v>221</v>
      </c>
      <c r="Q13" s="103">
        <f>((data!$A$3/8)*L13)+((data!$B$3/8)*(M13+N13+O13))+(P13*$E$25)</f>
        <v>966250</v>
      </c>
      <c r="R13" s="103">
        <f t="shared" si="1"/>
        <v>0</v>
      </c>
      <c r="S13" s="103"/>
      <c r="T13" s="103">
        <f t="shared" si="14"/>
        <v>0</v>
      </c>
      <c r="U13" s="103">
        <f t="shared" si="17"/>
        <v>0</v>
      </c>
      <c r="V13" s="94">
        <f t="shared" si="15"/>
        <v>-12500</v>
      </c>
      <c r="W13" s="103"/>
      <c r="X13" s="86">
        <f t="shared" ref="X13:X16" si="19">IF(K13="ok",50000+AB13,0+AB13)</f>
        <v>0</v>
      </c>
      <c r="Y13" s="103">
        <v>9500</v>
      </c>
      <c r="Z13" s="103">
        <f t="shared" si="6"/>
        <v>963500</v>
      </c>
      <c r="AE13" s="81">
        <f t="shared" si="7"/>
        <v>27.625</v>
      </c>
      <c r="AG13" s="81">
        <f t="shared" si="18"/>
        <v>27.625</v>
      </c>
      <c r="AH13" s="81">
        <f t="shared" si="9"/>
        <v>27.625</v>
      </c>
      <c r="AI13" s="28"/>
      <c r="AJ13" s="81">
        <f t="shared" si="10"/>
        <v>0</v>
      </c>
      <c r="AL13" s="112">
        <v>969000</v>
      </c>
      <c r="AM13" s="81" t="str">
        <f t="shared" si="16"/>
        <v>Ridwan</v>
      </c>
      <c r="AO13" s="11"/>
      <c r="AP13" s="81">
        <f t="shared" si="12"/>
        <v>0</v>
      </c>
    </row>
    <row r="14" spans="1:42" s="81" customFormat="1" ht="26.1" customHeight="1">
      <c r="A14" s="90"/>
      <c r="B14" s="2">
        <v>10</v>
      </c>
      <c r="C14" s="130" t="s">
        <v>64</v>
      </c>
      <c r="D14" s="126" t="s">
        <v>3</v>
      </c>
      <c r="E14" s="127"/>
      <c r="F14" s="131"/>
      <c r="G14" s="131">
        <v>1</v>
      </c>
      <c r="H14" s="131"/>
      <c r="I14" s="119" t="s">
        <v>53</v>
      </c>
      <c r="J14" s="127">
        <v>1</v>
      </c>
      <c r="K14" s="131"/>
      <c r="L14" s="132"/>
      <c r="M14" s="132">
        <v>150</v>
      </c>
      <c r="N14" s="132">
        <v>73</v>
      </c>
      <c r="O14" s="132"/>
      <c r="P14" s="111">
        <f t="shared" si="0"/>
        <v>223</v>
      </c>
      <c r="Q14" s="103">
        <f>((data!$A$3/8)*L14)+((data!$B$3/8)*(M14+N14+O14))+(P14*$E$25)</f>
        <v>947750</v>
      </c>
      <c r="R14" s="103">
        <f t="shared" si="1"/>
        <v>50000</v>
      </c>
      <c r="S14" s="103">
        <f t="shared" si="13"/>
        <v>27875</v>
      </c>
      <c r="T14" s="103">
        <f t="shared" si="14"/>
        <v>50000</v>
      </c>
      <c r="U14" s="103">
        <f t="shared" si="17"/>
        <v>83625</v>
      </c>
      <c r="V14" s="94">
        <f t="shared" si="15"/>
        <v>-12500</v>
      </c>
      <c r="W14" s="103"/>
      <c r="X14" s="86">
        <f t="shared" si="19"/>
        <v>0</v>
      </c>
      <c r="Y14" s="103">
        <v>3500</v>
      </c>
      <c r="Z14" s="103">
        <f t="shared" si="6"/>
        <v>1150500</v>
      </c>
      <c r="AE14" s="81">
        <f t="shared" si="7"/>
        <v>27.875</v>
      </c>
      <c r="AG14" s="81">
        <f t="shared" si="18"/>
        <v>27.875</v>
      </c>
      <c r="AH14" s="81">
        <f t="shared" si="9"/>
        <v>27.875</v>
      </c>
      <c r="AI14" s="28"/>
      <c r="AJ14" s="81">
        <f t="shared" si="10"/>
        <v>0</v>
      </c>
      <c r="AL14" s="112">
        <v>756500</v>
      </c>
      <c r="AM14" s="81" t="str">
        <f t="shared" si="16"/>
        <v>Ronald</v>
      </c>
      <c r="AO14" s="11"/>
      <c r="AP14" s="81">
        <f t="shared" si="12"/>
        <v>0</v>
      </c>
    </row>
    <row r="15" spans="1:42" s="81" customFormat="1" ht="26.1" customHeight="1">
      <c r="A15" s="90"/>
      <c r="B15" s="2">
        <v>11</v>
      </c>
      <c r="C15" s="130" t="s">
        <v>68</v>
      </c>
      <c r="D15" s="126" t="s">
        <v>3</v>
      </c>
      <c r="E15" s="127" t="s">
        <v>73</v>
      </c>
      <c r="F15" s="131"/>
      <c r="G15" s="131"/>
      <c r="H15" s="131"/>
      <c r="I15" s="119" t="s">
        <v>53</v>
      </c>
      <c r="J15" s="127">
        <v>1</v>
      </c>
      <c r="K15" s="131"/>
      <c r="L15" s="132">
        <v>2</v>
      </c>
      <c r="M15" s="132">
        <v>204</v>
      </c>
      <c r="N15" s="132">
        <v>18</v>
      </c>
      <c r="O15" s="132"/>
      <c r="P15" s="111">
        <f t="shared" si="0"/>
        <v>224</v>
      </c>
      <c r="Q15" s="103">
        <f>((data!$A$3/8)*L15)+((data!$B$3/8)*(M15+N15+O15))+(P15*$E$25)</f>
        <v>952250</v>
      </c>
      <c r="R15" s="103">
        <f t="shared" si="1"/>
        <v>0</v>
      </c>
      <c r="S15" s="103">
        <f t="shared" si="13"/>
        <v>28000</v>
      </c>
      <c r="T15" s="103">
        <f t="shared" si="14"/>
        <v>0</v>
      </c>
      <c r="U15" s="103">
        <f>IF(I15="+",P15/8*3000,IF(I15="-",0,P15/8*2000))</f>
        <v>84000</v>
      </c>
      <c r="V15" s="94">
        <f t="shared" si="15"/>
        <v>-12500</v>
      </c>
      <c r="W15" s="103"/>
      <c r="X15" s="86">
        <f t="shared" si="19"/>
        <v>0</v>
      </c>
      <c r="Y15" s="103">
        <v>7000</v>
      </c>
      <c r="Z15" s="103">
        <f t="shared" si="6"/>
        <v>1059000</v>
      </c>
      <c r="AE15" s="81">
        <f t="shared" si="7"/>
        <v>28</v>
      </c>
      <c r="AG15" s="81">
        <f t="shared" si="18"/>
        <v>28</v>
      </c>
      <c r="AH15" s="81">
        <f t="shared" si="9"/>
        <v>28</v>
      </c>
      <c r="AJ15" s="81">
        <f t="shared" si="10"/>
        <v>0</v>
      </c>
      <c r="AL15" s="112">
        <v>862000</v>
      </c>
      <c r="AM15" s="81" t="str">
        <f t="shared" si="16"/>
        <v>Yulika</v>
      </c>
      <c r="AO15" s="11"/>
      <c r="AP15" s="81">
        <f t="shared" si="12"/>
        <v>0</v>
      </c>
    </row>
    <row r="16" spans="1:42" s="81" customFormat="1" ht="26.1" customHeight="1">
      <c r="A16" s="90"/>
      <c r="B16" s="2">
        <v>12</v>
      </c>
      <c r="C16" s="135" t="s">
        <v>50</v>
      </c>
      <c r="D16" s="136" t="s">
        <v>50</v>
      </c>
      <c r="E16" s="2"/>
      <c r="F16" s="137"/>
      <c r="G16" s="138"/>
      <c r="H16" s="138"/>
      <c r="I16" s="139"/>
      <c r="J16" s="137"/>
      <c r="K16" s="140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850000</v>
      </c>
      <c r="AM16" s="81" t="str">
        <f t="shared" si="11"/>
        <v>-</v>
      </c>
      <c r="AO16" s="11"/>
      <c r="AP16" s="81">
        <f t="shared" si="12"/>
        <v>0</v>
      </c>
    </row>
    <row r="17" spans="1:42" s="81" customFormat="1" ht="26.1" hidden="1" customHeight="1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10</v>
      </c>
      <c r="K19" s="27"/>
      <c r="L19" s="34">
        <f>SUM(L5:L17)</f>
        <v>760</v>
      </c>
      <c r="M19" s="34">
        <f>SUM(M5:M18)</f>
        <v>744</v>
      </c>
      <c r="N19" s="34">
        <f>SUM(N5:N18)</f>
        <v>728</v>
      </c>
      <c r="O19" s="34">
        <f t="shared" ref="O19:Z19" si="33">SUM(O5:O17)</f>
        <v>0</v>
      </c>
      <c r="P19" s="35">
        <f>SUM(P5:P18)</f>
        <v>2232</v>
      </c>
      <c r="Q19" s="35">
        <f t="shared" si="33"/>
        <v>9581000</v>
      </c>
      <c r="R19" s="35">
        <f t="shared" si="33"/>
        <v>550000</v>
      </c>
      <c r="S19" s="35">
        <f t="shared" si="33"/>
        <v>193375</v>
      </c>
      <c r="T19" s="35">
        <f t="shared" si="33"/>
        <v>550000</v>
      </c>
      <c r="U19" s="35">
        <f t="shared" si="33"/>
        <v>583375</v>
      </c>
      <c r="V19" s="95">
        <f t="shared" si="33"/>
        <v>-125000</v>
      </c>
      <c r="W19" s="35">
        <f t="shared" si="33"/>
        <v>0</v>
      </c>
      <c r="X19" s="35">
        <f t="shared" si="33"/>
        <v>290000</v>
      </c>
      <c r="Y19" s="35">
        <f t="shared" si="33"/>
        <v>308000</v>
      </c>
      <c r="Z19" s="35">
        <f t="shared" si="33"/>
        <v>11933000</v>
      </c>
      <c r="AI19">
        <f>SUM(AI5:AI16)</f>
        <v>168</v>
      </c>
      <c r="AJ19" s="100">
        <f>SUM(AJ5:AJ16)</f>
        <v>21</v>
      </c>
      <c r="AL19" s="115">
        <f>SUM(AL5:AL18)</f>
        <v>10552500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56">
        <f>L19+M19+N19</f>
        <v>2232</v>
      </c>
      <c r="M20" s="157"/>
      <c r="N20" s="157"/>
      <c r="X20" s="151">
        <f ca="1">NOW()</f>
        <v>45723.403370138891</v>
      </c>
      <c r="Y20" s="151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2232</v>
      </c>
      <c r="M22" s="21"/>
    </row>
    <row r="23" spans="1:42" ht="26.1" hidden="1" customHeight="1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26.1" customHeight="1">
      <c r="A25" s="1"/>
      <c r="B25" s="40"/>
      <c r="C25" s="40" t="s">
        <v>33</v>
      </c>
      <c r="D25" s="40"/>
      <c r="E25" s="152">
        <f>IF(L20&gt;0,data!F3/L20)</f>
        <v>0</v>
      </c>
      <c r="F25" s="152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Y25" s="11"/>
      <c r="Z25" s="11"/>
    </row>
    <row r="26" spans="1:42" ht="26.1" hidden="1" customHeight="1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Y26" s="11"/>
      <c r="Z26" s="11"/>
    </row>
    <row r="27" spans="1:42" ht="26.1" hidden="1" customHeight="1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Y27" s="11"/>
      <c r="Z27" s="11"/>
    </row>
    <row r="28" spans="1:42" ht="26.1" customHeight="1">
      <c r="A28" s="1"/>
      <c r="B28" s="150" t="s">
        <v>48</v>
      </c>
      <c r="C28" s="150"/>
      <c r="D28" s="150"/>
      <c r="E28" s="150"/>
      <c r="F28" s="46">
        <v>3</v>
      </c>
      <c r="G28" s="10"/>
      <c r="H28" s="15"/>
      <c r="I28" s="10"/>
      <c r="J28" s="158"/>
      <c r="K28" s="158"/>
      <c r="L28" s="158"/>
      <c r="M28" s="158"/>
      <c r="N28" s="158"/>
      <c r="O28" s="158"/>
      <c r="P28" s="158"/>
      <c r="Y28" s="116">
        <f>1.5*data!A3</f>
        <v>52500</v>
      </c>
      <c r="Z28" s="117">
        <f>Y28/8</f>
        <v>6562.5</v>
      </c>
    </row>
    <row r="29" spans="1:42" ht="26.1" customHeight="1">
      <c r="A29" s="1"/>
      <c r="B29" s="150" t="s">
        <v>34</v>
      </c>
      <c r="C29" s="150"/>
      <c r="D29" s="150"/>
      <c r="E29" s="150"/>
      <c r="F29" s="37">
        <f>31*24*F28</f>
        <v>2232</v>
      </c>
      <c r="G29" s="16"/>
      <c r="H29" s="37"/>
      <c r="I29" s="16"/>
      <c r="J29" s="158"/>
      <c r="K29" s="158"/>
      <c r="L29" s="158"/>
      <c r="M29" s="158"/>
      <c r="N29" s="158"/>
      <c r="O29" s="158"/>
      <c r="P29" s="158"/>
      <c r="Y29" s="118">
        <f>Y28-data!A3</f>
        <v>17500</v>
      </c>
      <c r="Z29" s="117">
        <f>Y29/8</f>
        <v>2187.5</v>
      </c>
    </row>
    <row r="30" spans="1:42" ht="26.1" customHeight="1">
      <c r="A30" s="1"/>
      <c r="B30" s="150" t="s">
        <v>39</v>
      </c>
      <c r="C30" s="150"/>
      <c r="D30" s="150"/>
      <c r="E30" s="150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Y30" s="11"/>
      <c r="Z30" s="11"/>
    </row>
    <row r="31" spans="1:42" ht="26.1" customHeight="1">
      <c r="A31" s="1"/>
      <c r="B31" s="150" t="s">
        <v>40</v>
      </c>
      <c r="C31" s="150"/>
      <c r="D31" s="150"/>
      <c r="E31" s="150"/>
      <c r="F31" s="36">
        <f>F29-F30</f>
        <v>2232</v>
      </c>
      <c r="G31" s="17"/>
      <c r="H31" s="17"/>
      <c r="I31" s="17"/>
      <c r="J31" s="17"/>
      <c r="Y31" s="11"/>
      <c r="Z31" s="11"/>
    </row>
    <row r="32" spans="1:42" ht="26.1" customHeight="1">
      <c r="A32" s="1"/>
      <c r="B32" s="155" t="s">
        <v>41</v>
      </c>
      <c r="C32" s="155"/>
      <c r="D32" s="155"/>
      <c r="E32" s="155"/>
      <c r="F32" s="38">
        <f>P19</f>
        <v>2232</v>
      </c>
      <c r="G32" s="18"/>
      <c r="H32" s="18"/>
      <c r="I32" s="18"/>
      <c r="J32" s="18"/>
      <c r="Y32" s="19"/>
      <c r="Z32" s="19"/>
    </row>
    <row r="33" spans="1:26" ht="26.1" customHeight="1">
      <c r="A33" s="1"/>
      <c r="B33" s="155" t="s">
        <v>70</v>
      </c>
      <c r="C33" s="155"/>
      <c r="D33" s="155"/>
      <c r="E33" s="155"/>
      <c r="F33" s="79">
        <f>-(F31-F32)</f>
        <v>0</v>
      </c>
      <c r="G33" s="20"/>
      <c r="H33" s="20"/>
      <c r="I33" s="20"/>
      <c r="J33" s="18"/>
      <c r="Y33" s="3"/>
      <c r="Z33" s="5"/>
    </row>
    <row r="34" spans="1:26" ht="26.1" customHeight="1">
      <c r="Z34" s="80"/>
    </row>
    <row r="35" spans="1:26" ht="26.1" customHeight="1"/>
    <row r="36" spans="1:26" ht="26.1" customHeight="1"/>
    <row r="37" spans="1:26" ht="26.1" customHeight="1"/>
    <row r="38" spans="1:26" ht="26.1" customHeight="1"/>
    <row r="39" spans="1:26" ht="26.1" customHeight="1"/>
    <row r="40" spans="1:26" ht="26.1" customHeight="1"/>
    <row r="41" spans="1:26" ht="26.1" customHeight="1"/>
    <row r="42" spans="1:26" ht="26.1" customHeight="1"/>
    <row r="43" spans="1:26" ht="26.1" customHeight="1"/>
    <row r="44" spans="1:26" ht="26.1" customHeight="1"/>
    <row r="45" spans="1:26" ht="26.1" customHeight="1"/>
    <row r="46" spans="1:26" ht="26.1" customHeight="1"/>
    <row r="47" spans="1:26" ht="26.1" customHeight="1"/>
  </sheetData>
  <sortState xmlns:xlrd2="http://schemas.microsoft.com/office/spreadsheetml/2017/richdata2" ref="C5:AK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>
      <c r="A3">
        <v>35000</v>
      </c>
      <c r="B3">
        <v>34000</v>
      </c>
      <c r="F3">
        <v>0</v>
      </c>
      <c r="I3" s="44">
        <f>Sheet1!B3</f>
        <v>45658</v>
      </c>
    </row>
    <row r="4" spans="1:10">
      <c r="I4" s="45">
        <f>EOMONTH(I3,0)</f>
        <v>45688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2025-02-07T03:07:07Z</cp:lastPrinted>
  <dcterms:created xsi:type="dcterms:W3CDTF">2022-07-05T15:57:31Z</dcterms:created>
  <dcterms:modified xsi:type="dcterms:W3CDTF">2025-03-07T02:41:30Z</dcterms:modified>
</cp:coreProperties>
</file>