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W:\_DOC\doc\gaji\2025\01\"/>
    </mc:Choice>
  </mc:AlternateContent>
  <xr:revisionPtr revIDLastSave="0" documentId="13_ncr:1_{68982F93-DB5F-4513-8095-0A1A1BBA084F}" xr6:coauthVersionLast="45" xr6:coauthVersionMax="45" xr10:uidLastSave="{00000000-0000-0000-0000-000000000000}"/>
  <bookViews>
    <workbookView xWindow="3810" yWindow="1785" windowWidth="23940" windowHeight="14505" xr2:uid="{00000000-000D-0000-FFFF-FFFF00000000}"/>
  </bookViews>
  <sheets>
    <sheet name="Sheet1" sheetId="1" r:id="rId1"/>
    <sheet name="Sheet2" sheetId="3" r:id="rId2"/>
    <sheet name="data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9" i="1" l="1"/>
  <c r="Y28" i="1"/>
  <c r="Z28" i="1" s="1"/>
  <c r="Y29" i="1" l="1"/>
  <c r="Z29" i="1" s="1"/>
  <c r="H40" i="1" l="1"/>
  <c r="H44" i="1"/>
  <c r="E40" i="1"/>
  <c r="E44" i="1"/>
  <c r="H45" i="1"/>
  <c r="H38" i="1"/>
  <c r="E41" i="1"/>
  <c r="E37" i="1"/>
  <c r="E42" i="1"/>
  <c r="H39" i="1"/>
  <c r="E39" i="1"/>
  <c r="H42" i="1"/>
  <c r="E38" i="1"/>
  <c r="H43" i="1"/>
  <c r="E43" i="1"/>
  <c r="I38" i="1" l="1"/>
  <c r="I44" i="1"/>
  <c r="I39" i="1"/>
  <c r="I41" i="1"/>
  <c r="I45" i="1"/>
  <c r="I40" i="1"/>
  <c r="I37" i="1"/>
  <c r="I42" i="1"/>
  <c r="I43" i="1"/>
  <c r="I46" i="1" l="1"/>
  <c r="P14" i="1" l="1"/>
  <c r="R5" i="1" l="1"/>
  <c r="R6" i="1"/>
  <c r="X5" i="1"/>
  <c r="AL19" i="1"/>
  <c r="X16" i="1" l="1"/>
  <c r="X15" i="1"/>
  <c r="X14" i="1"/>
  <c r="X13" i="1"/>
  <c r="R8" i="1" l="1"/>
  <c r="R9" i="1"/>
  <c r="R10" i="1"/>
  <c r="R11" i="1"/>
  <c r="R12" i="1"/>
  <c r="R13" i="1"/>
  <c r="R14" i="1"/>
  <c r="R15" i="1"/>
  <c r="AF18" i="1"/>
  <c r="T14" i="1"/>
  <c r="AI19" i="1"/>
  <c r="AJ6" i="1"/>
  <c r="AJ7" i="1"/>
  <c r="AJ8" i="1"/>
  <c r="AJ9" i="1"/>
  <c r="AJ10" i="1"/>
  <c r="AJ11" i="1"/>
  <c r="AJ12" i="1"/>
  <c r="AJ13" i="1"/>
  <c r="AJ14" i="1"/>
  <c r="AJ15" i="1"/>
  <c r="AJ5" i="1"/>
  <c r="AJ19" i="1" l="1"/>
  <c r="V16" i="1"/>
  <c r="P5" i="1"/>
  <c r="S5" i="1" s="1"/>
  <c r="P16" i="1"/>
  <c r="U16" i="1" s="1"/>
  <c r="A12" i="2" l="1"/>
  <c r="A11" i="2"/>
  <c r="A10" i="2"/>
  <c r="T6" i="1" l="1"/>
  <c r="T8" i="1" l="1"/>
  <c r="V5" i="1" l="1"/>
  <c r="V6" i="1"/>
  <c r="V7" i="1"/>
  <c r="V8" i="1"/>
  <c r="P18" i="1" l="1"/>
  <c r="P17" i="1"/>
  <c r="P15" i="1"/>
  <c r="P13" i="1"/>
  <c r="P12" i="1"/>
  <c r="U12" i="1" s="1"/>
  <c r="P11" i="1"/>
  <c r="P10" i="1"/>
  <c r="P9" i="1"/>
  <c r="S9" i="1" s="1"/>
  <c r="P8" i="1"/>
  <c r="P7" i="1"/>
  <c r="P6" i="1"/>
  <c r="U5" i="1"/>
  <c r="X9" i="1"/>
  <c r="S15" i="1" l="1"/>
  <c r="U15" i="1"/>
  <c r="U7" i="1"/>
  <c r="S7" i="1"/>
  <c r="T11" i="1" l="1"/>
  <c r="W19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5" i="1"/>
  <c r="X7" i="1" l="1"/>
  <c r="X10" i="1"/>
  <c r="X11" i="1"/>
  <c r="X12" i="1"/>
  <c r="X17" i="1"/>
  <c r="X18" i="1"/>
  <c r="V18" i="1" l="1"/>
  <c r="U18" i="1"/>
  <c r="T18" i="1"/>
  <c r="R18" i="1"/>
  <c r="N19" i="1" l="1"/>
  <c r="M19" i="1"/>
  <c r="AM18" i="1"/>
  <c r="J19" i="1" l="1"/>
  <c r="S37" i="3" l="1"/>
  <c r="S25" i="3"/>
  <c r="S26" i="3"/>
  <c r="S27" i="3"/>
  <c r="S28" i="3"/>
  <c r="S29" i="3"/>
  <c r="S30" i="3"/>
  <c r="S31" i="3"/>
  <c r="S32" i="3"/>
  <c r="S33" i="3"/>
  <c r="S34" i="3"/>
  <c r="S35" i="3"/>
  <c r="S36" i="3"/>
  <c r="S24" i="3"/>
  <c r="P37" i="3"/>
  <c r="N37" i="3"/>
  <c r="L37" i="3"/>
  <c r="Q25" i="3"/>
  <c r="Q26" i="3"/>
  <c r="Q27" i="3"/>
  <c r="Q28" i="3"/>
  <c r="Q29" i="3"/>
  <c r="Q30" i="3"/>
  <c r="Q31" i="3"/>
  <c r="Q32" i="3"/>
  <c r="Q33" i="3"/>
  <c r="Q34" i="3"/>
  <c r="Q35" i="3"/>
  <c r="Q36" i="3"/>
  <c r="O25" i="3"/>
  <c r="O26" i="3"/>
  <c r="O27" i="3"/>
  <c r="O28" i="3"/>
  <c r="O29" i="3"/>
  <c r="O30" i="3"/>
  <c r="O31" i="3"/>
  <c r="O32" i="3"/>
  <c r="O33" i="3"/>
  <c r="O34" i="3"/>
  <c r="O35" i="3"/>
  <c r="O36" i="3"/>
  <c r="M25" i="3"/>
  <c r="M26" i="3"/>
  <c r="M27" i="3"/>
  <c r="M28" i="3"/>
  <c r="M29" i="3"/>
  <c r="M30" i="3"/>
  <c r="M31" i="3"/>
  <c r="M32" i="3"/>
  <c r="M33" i="3"/>
  <c r="M34" i="3"/>
  <c r="M35" i="3"/>
  <c r="M36" i="3"/>
  <c r="Q24" i="3"/>
  <c r="Q37" i="3" s="1"/>
  <c r="O24" i="3"/>
  <c r="O37" i="3" s="1"/>
  <c r="M24" i="3"/>
  <c r="M37" i="3" s="1"/>
  <c r="R6" i="3"/>
  <c r="S6" i="3" s="1"/>
  <c r="R7" i="3"/>
  <c r="S7" i="3" s="1"/>
  <c r="R8" i="3"/>
  <c r="S8" i="3" s="1"/>
  <c r="R9" i="3"/>
  <c r="S9" i="3" s="1"/>
  <c r="R10" i="3"/>
  <c r="S10" i="3" s="1"/>
  <c r="R11" i="3"/>
  <c r="S11" i="3" s="1"/>
  <c r="R12" i="3"/>
  <c r="S12" i="3" s="1"/>
  <c r="R13" i="3"/>
  <c r="S13" i="3" s="1"/>
  <c r="R14" i="3"/>
  <c r="S14" i="3" s="1"/>
  <c r="R15" i="3"/>
  <c r="S15" i="3" s="1"/>
  <c r="R16" i="3"/>
  <c r="S16" i="3" s="1"/>
  <c r="R17" i="3"/>
  <c r="S17" i="3" s="1"/>
  <c r="R5" i="3"/>
  <c r="S5" i="3" s="1"/>
  <c r="T34" i="3" l="1"/>
  <c r="T30" i="3"/>
  <c r="T26" i="3"/>
  <c r="T33" i="3"/>
  <c r="T29" i="3"/>
  <c r="T25" i="3"/>
  <c r="T36" i="3"/>
  <c r="T32" i="3"/>
  <c r="T28" i="3"/>
  <c r="T35" i="3"/>
  <c r="T31" i="3"/>
  <c r="T27" i="3"/>
  <c r="T24" i="3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T37" i="3" l="1"/>
  <c r="R17" i="1"/>
  <c r="I3" i="2" l="1"/>
  <c r="I4" i="2" s="1"/>
  <c r="X20" i="1" l="1"/>
  <c r="S16" i="1" l="1"/>
  <c r="O19" i="1"/>
  <c r="L19" i="1"/>
  <c r="S17" i="1"/>
  <c r="T17" i="1"/>
  <c r="U17" i="1"/>
  <c r="V17" i="1"/>
  <c r="L20" i="1" l="1"/>
  <c r="E25" i="1" s="1"/>
  <c r="L22" i="1"/>
  <c r="AE17" i="1"/>
  <c r="AE16" i="1"/>
  <c r="V9" i="1"/>
  <c r="F31" i="1"/>
  <c r="V15" i="1"/>
  <c r="T15" i="1"/>
  <c r="V14" i="1"/>
  <c r="V13" i="1"/>
  <c r="T13" i="1"/>
  <c r="S13" i="1"/>
  <c r="V12" i="1"/>
  <c r="T12" i="1"/>
  <c r="S12" i="1"/>
  <c r="R7" i="1"/>
  <c r="V10" i="1"/>
  <c r="T10" i="1"/>
  <c r="T16" i="1"/>
  <c r="T5" i="1"/>
  <c r="V11" i="1"/>
  <c r="Y19" i="1"/>
  <c r="AF17" i="1" l="1"/>
  <c r="AG17" i="1" s="1"/>
  <c r="AG16" i="1"/>
  <c r="AH16" i="1"/>
  <c r="Q18" i="1"/>
  <c r="Z18" i="1" s="1"/>
  <c r="Q10" i="1"/>
  <c r="Q12" i="1"/>
  <c r="Q9" i="1"/>
  <c r="Q14" i="1"/>
  <c r="Q8" i="1"/>
  <c r="Q5" i="1"/>
  <c r="Q7" i="1"/>
  <c r="Q6" i="1"/>
  <c r="Q13" i="1"/>
  <c r="Q11" i="1"/>
  <c r="U13" i="1"/>
  <c r="Q16" i="1"/>
  <c r="Q15" i="1"/>
  <c r="Q17" i="1"/>
  <c r="Z17" i="1" s="1"/>
  <c r="AE15" i="1"/>
  <c r="AE14" i="1"/>
  <c r="AE13" i="1"/>
  <c r="AE12" i="1"/>
  <c r="T19" i="1"/>
  <c r="X19" i="1"/>
  <c r="U14" i="1"/>
  <c r="V19" i="1"/>
  <c r="R19" i="1"/>
  <c r="AG15" i="1" l="1"/>
  <c r="AH15" i="1"/>
  <c r="AG14" i="1"/>
  <c r="AH14" i="1"/>
  <c r="AG12" i="1"/>
  <c r="AH12" i="1"/>
  <c r="AH13" i="1"/>
  <c r="AG13" i="1"/>
  <c r="Z14" i="1"/>
  <c r="Z16" i="1"/>
  <c r="Z13" i="1" l="1"/>
  <c r="Z15" i="1"/>
  <c r="Z12" i="1"/>
  <c r="AE5" i="1" l="1"/>
  <c r="Z5" i="1"/>
  <c r="AE10" i="1"/>
  <c r="AE8" i="1"/>
  <c r="P19" i="1"/>
  <c r="F32" i="1" s="1"/>
  <c r="F33" i="1" s="1"/>
  <c r="U6" i="1"/>
  <c r="AE11" i="1"/>
  <c r="AE7" i="1"/>
  <c r="AE6" i="1"/>
  <c r="AE9" i="1"/>
  <c r="Q19" i="1"/>
  <c r="U9" i="1"/>
  <c r="S8" i="1"/>
  <c r="U8" i="1"/>
  <c r="S11" i="1"/>
  <c r="U11" i="1"/>
  <c r="U10" i="1"/>
  <c r="AH5" i="1" l="1"/>
  <c r="AG5" i="1"/>
  <c r="AG7" i="1"/>
  <c r="AH7" i="1"/>
  <c r="AG8" i="1"/>
  <c r="AH8" i="1"/>
  <c r="AG6" i="1"/>
  <c r="AH6" i="1"/>
  <c r="AG11" i="1"/>
  <c r="AH11" i="1"/>
  <c r="AG10" i="1"/>
  <c r="AH10" i="1"/>
  <c r="AH9" i="1"/>
  <c r="AG9" i="1"/>
  <c r="Z6" i="1"/>
  <c r="Z9" i="1"/>
  <c r="Z8" i="1"/>
  <c r="Z10" i="1"/>
  <c r="Z11" i="1"/>
  <c r="U19" i="1"/>
  <c r="S19" i="1"/>
  <c r="Z7" i="1"/>
  <c r="Z19" i="1" l="1"/>
</calcChain>
</file>

<file path=xl/sharedStrings.xml><?xml version="1.0" encoding="utf-8"?>
<sst xmlns="http://schemas.openxmlformats.org/spreadsheetml/2006/main" count="235" uniqueCount="87">
  <si>
    <t>Gaji Warnet</t>
  </si>
  <si>
    <t>No</t>
  </si>
  <si>
    <t>OP</t>
  </si>
  <si>
    <t>tetap</t>
  </si>
  <si>
    <t>pk</t>
  </si>
  <si>
    <t>tk</t>
  </si>
  <si>
    <t>senior</t>
  </si>
  <si>
    <t>lulus evaluasi</t>
  </si>
  <si>
    <t>over shift</t>
  </si>
  <si>
    <t>Kebersihan PC</t>
  </si>
  <si>
    <t>konten</t>
  </si>
  <si>
    <t>shift 1</t>
  </si>
  <si>
    <t>shift 2</t>
  </si>
  <si>
    <t>shift 3</t>
  </si>
  <si>
    <t>Shift BO</t>
  </si>
  <si>
    <t>jml jam</t>
  </si>
  <si>
    <t>gaji</t>
  </si>
  <si>
    <t>over
shift</t>
  </si>
  <si>
    <t>Penalty Kebersihan PC</t>
  </si>
  <si>
    <t xml:space="preserve">konten
training
</t>
  </si>
  <si>
    <t xml:space="preserve">hardware komisi cafe
</t>
  </si>
  <si>
    <t>total</t>
  </si>
  <si>
    <t>Ali</t>
  </si>
  <si>
    <t>ok</t>
  </si>
  <si>
    <t>Ardian</t>
  </si>
  <si>
    <t>percobaan</t>
  </si>
  <si>
    <t>Yudha</t>
  </si>
  <si>
    <t>Henbediona</t>
  </si>
  <si>
    <t>Anita</t>
  </si>
  <si>
    <t>Reza</t>
  </si>
  <si>
    <t>Ridwan</t>
  </si>
  <si>
    <t>Rini</t>
  </si>
  <si>
    <t>Rizal</t>
  </si>
  <si>
    <t>faktor penambah gaji</t>
  </si>
  <si>
    <t>total jam kerja 1bulan normal</t>
  </si>
  <si>
    <t>Arif</t>
  </si>
  <si>
    <t>Haris</t>
  </si>
  <si>
    <t>bo</t>
  </si>
  <si>
    <t>warnet</t>
  </si>
  <si>
    <t>total jam tutup karena efisiensi</t>
  </si>
  <si>
    <t>Total jam kerja efektif</t>
  </si>
  <si>
    <t>total jam kerja</t>
  </si>
  <si>
    <t xml:space="preserve">shift </t>
  </si>
  <si>
    <t>satu</t>
  </si>
  <si>
    <t>dua-tiga</t>
  </si>
  <si>
    <t>devaluasi M2</t>
  </si>
  <si>
    <t>jml hari pada bulan</t>
  </si>
  <si>
    <t>jml outlet</t>
  </si>
  <si>
    <t>outlet aktif</t>
  </si>
  <si>
    <t>Iman</t>
  </si>
  <si>
    <t>-</t>
  </si>
  <si>
    <t>pelatihan</t>
  </si>
  <si>
    <t>meeting</t>
  </si>
  <si>
    <t>+</t>
  </si>
  <si>
    <t>Ajeng</t>
  </si>
  <si>
    <t>basik jam</t>
  </si>
  <si>
    <t>basik hari</t>
  </si>
  <si>
    <t>gc</t>
  </si>
  <si>
    <t>peatihan</t>
  </si>
  <si>
    <t>no</t>
  </si>
  <si>
    <t>1</t>
  </si>
  <si>
    <t>2-3</t>
  </si>
  <si>
    <t>nilai shift 1</t>
  </si>
  <si>
    <t>fix total</t>
  </si>
  <si>
    <t>Erwin</t>
  </si>
  <si>
    <t>Ronald</t>
  </si>
  <si>
    <t>mepet</t>
  </si>
  <si>
    <t>tambahan untk jam shift lebaran</t>
  </si>
  <si>
    <t>Gilang</t>
  </si>
  <si>
    <t>Yulika</t>
  </si>
  <si>
    <t>note</t>
  </si>
  <si>
    <t>Hafiz</t>
  </si>
  <si>
    <t>Alfreda</t>
  </si>
  <si>
    <t>selisih jam kerja (BO/pendampingan)</t>
  </si>
  <si>
    <t>roma</t>
  </si>
  <si>
    <t>gilang</t>
  </si>
  <si>
    <t>ronal</t>
  </si>
  <si>
    <t>ridwan</t>
  </si>
  <si>
    <t>yulika</t>
  </si>
  <si>
    <t>hafis</t>
  </si>
  <si>
    <t>reza</t>
  </si>
  <si>
    <t>arif</t>
  </si>
  <si>
    <t>erwin</t>
  </si>
  <si>
    <t>insentif natal</t>
  </si>
  <si>
    <t>jam kerja</t>
  </si>
  <si>
    <t>sub total</t>
  </si>
  <si>
    <t>insentif 24-25 desember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</si>
</sst>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-* #,##0_-;\-* #,##0_-;_-* &quot;-&quot;_-;_-@_-"/>
    <numFmt numFmtId="165" formatCode="mmmm\-yyyy"/>
    <numFmt numFmtId="166" formatCode="dd"/>
    <numFmt numFmtId="167" formatCode="mmmm\ yyyy"/>
    <numFmt numFmtId="168" formatCode="#,##0;[Red]\(#,##0\)"/>
    <numFmt numFmtId="169" formatCode="_(* #,##0_);_(* \(#,##0\);_(* &quot;-&quot;??_);_(@_)"/>
  </numFmts>
  <fonts count="28" x14ac:knownFonts="1">
    <font>
      <sz val="11"/>
      <name val="Calibri"/>
    </font>
    <font>
      <sz val="12"/>
      <color rgb="FF000000"/>
      <name val="Calibri"/>
      <family val="2"/>
    </font>
    <font>
      <sz val="12"/>
      <color rgb="FF1F3964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rgb="FF435369"/>
      <name val="Arial"/>
      <family val="2"/>
    </font>
    <font>
      <b/>
      <sz val="12"/>
      <color rgb="FF435369"/>
      <name val="Arial"/>
      <family val="2"/>
    </font>
    <font>
      <sz val="11"/>
      <color rgb="FF000000"/>
      <name val="Calibri"/>
      <family val="2"/>
    </font>
    <font>
      <sz val="12"/>
      <name val="Arial"/>
      <family val="2"/>
    </font>
    <font>
      <sz val="11"/>
      <name val="Calibri"/>
      <family val="2"/>
    </font>
    <font>
      <sz val="12"/>
      <color rgb="FF000000"/>
      <name val="Calibri"/>
      <family val="2"/>
    </font>
    <font>
      <b/>
      <sz val="20"/>
      <color theme="1"/>
      <name val="Calibri"/>
      <family val="2"/>
    </font>
    <font>
      <sz val="12"/>
      <color rgb="FF1F3964"/>
      <name val="Arial"/>
      <family val="2"/>
    </font>
    <font>
      <sz val="10"/>
      <color rgb="FF002060"/>
      <name val="Calibri"/>
      <family val="2"/>
      <scheme val="minor"/>
    </font>
    <font>
      <sz val="12"/>
      <color theme="1"/>
      <name val="Arial"/>
      <family val="2"/>
    </font>
    <font>
      <sz val="11"/>
      <color theme="0" tint="-0.34998626667073579"/>
      <name val="Calibri"/>
      <family val="2"/>
    </font>
    <font>
      <sz val="8"/>
      <color rgb="FF1F3964"/>
      <name val="Arial"/>
      <family val="2"/>
    </font>
    <font>
      <sz val="8"/>
      <name val="Calibri"/>
      <family val="2"/>
    </font>
    <font>
      <sz val="12"/>
      <color theme="4" tint="-0.499984740745262"/>
      <name val="Arial"/>
      <family val="2"/>
    </font>
    <font>
      <sz val="12"/>
      <color theme="3" tint="-0.249977111117893"/>
      <name val="Arial"/>
      <family val="2"/>
    </font>
    <font>
      <sz val="11"/>
      <name val="Calibri"/>
      <family val="2"/>
    </font>
    <font>
      <sz val="11"/>
      <color rgb="FFFFFF00"/>
      <name val="Calibri"/>
      <family val="2"/>
    </font>
    <font>
      <sz val="9"/>
      <color rgb="FF000000"/>
      <name val="Calibri"/>
      <family val="2"/>
    </font>
    <font>
      <sz val="11"/>
      <color theme="3"/>
      <name val="Calibri"/>
      <family val="2"/>
    </font>
    <font>
      <b/>
      <sz val="12"/>
      <name val="Arial"/>
      <family val="2"/>
    </font>
    <font>
      <sz val="12"/>
      <name val="Calibri"/>
      <family val="2"/>
    </font>
    <font>
      <b/>
      <sz val="12"/>
      <color theme="4" tint="-0.499984740745262"/>
      <name val="Arial"/>
      <family val="2"/>
    </font>
    <font>
      <sz val="12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7" fillId="0" borderId="0">
      <protection locked="0"/>
    </xf>
    <xf numFmtId="164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protection locked="0"/>
    </xf>
    <xf numFmtId="43" fontId="20" fillId="0" borderId="0" applyFont="0" applyFill="0" applyBorder="0" applyAlignment="0" applyProtection="0"/>
  </cellStyleXfs>
  <cellXfs count="171">
    <xf numFmtId="0" fontId="0" fillId="0" borderId="0" xfId="0">
      <alignment vertical="center"/>
    </xf>
    <xf numFmtId="0" fontId="1" fillId="0" borderId="0" xfId="0" applyFont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1" applyFont="1" applyAlignment="1" applyProtection="1"/>
    <xf numFmtId="0" fontId="5" fillId="0" borderId="0" xfId="1" applyFont="1" applyAlignment="1" applyProtection="1">
      <alignment horizontal="center"/>
    </xf>
    <xf numFmtId="0" fontId="5" fillId="0" borderId="0" xfId="1" applyFont="1" applyFill="1" applyAlignment="1" applyProtection="1">
      <alignment horizontal="center"/>
    </xf>
    <xf numFmtId="3" fontId="2" fillId="0" borderId="0" xfId="0" applyNumberFormat="1" applyFont="1" applyFill="1" applyBorder="1" applyAlignment="1">
      <alignment horizontal="center" vertical="center"/>
    </xf>
    <xf numFmtId="0" fontId="5" fillId="0" borderId="0" xfId="1" applyFont="1" applyFill="1" applyAlignment="1" applyProtection="1"/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/>
    </xf>
    <xf numFmtId="0" fontId="10" fillId="0" borderId="0" xfId="0" applyFont="1" applyAlignment="1"/>
    <xf numFmtId="0" fontId="11" fillId="0" borderId="0" xfId="0" applyFont="1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3" fontId="2" fillId="3" borderId="1" xfId="0" applyNumberFormat="1" applyFont="1" applyFill="1" applyBorder="1" applyAlignment="1">
      <alignment horizontal="right" vertical="center"/>
    </xf>
    <xf numFmtId="164" fontId="2" fillId="3" borderId="1" xfId="2" applyFont="1" applyFill="1" applyBorder="1" applyAlignment="1">
      <alignment horizontal="right" vertical="center"/>
    </xf>
    <xf numFmtId="164" fontId="2" fillId="0" borderId="2" xfId="2" applyFont="1" applyFill="1" applyBorder="1" applyAlignment="1">
      <alignment horizontal="right" vertical="center"/>
    </xf>
    <xf numFmtId="164" fontId="5" fillId="0" borderId="0" xfId="2" applyFont="1" applyFill="1" applyAlignment="1" applyProtection="1">
      <alignment horizontal="right" vertical="center"/>
    </xf>
    <xf numFmtId="164" fontId="6" fillId="0" borderId="0" xfId="2" applyFont="1" applyFill="1" applyAlignment="1" applyProtection="1">
      <alignment horizontal="right" vertical="center"/>
    </xf>
    <xf numFmtId="0" fontId="1" fillId="0" borderId="0" xfId="0" applyFont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4" fillId="0" borderId="0" xfId="0" applyFont="1" applyAlignment="1"/>
    <xf numFmtId="0" fontId="9" fillId="0" borderId="0" xfId="0" applyFont="1">
      <alignment vertical="center"/>
    </xf>
    <xf numFmtId="166" fontId="1" fillId="0" borderId="0" xfId="0" applyNumberFormat="1" applyFont="1" applyAlignment="1"/>
    <xf numFmtId="167" fontId="0" fillId="0" borderId="0" xfId="0" applyNumberFormat="1">
      <alignment vertical="center"/>
    </xf>
    <xf numFmtId="166" fontId="0" fillId="0" borderId="0" xfId="0" applyNumberFormat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164" fontId="0" fillId="0" borderId="0" xfId="2" applyFont="1" applyAlignment="1">
      <alignment vertical="center"/>
    </xf>
    <xf numFmtId="0" fontId="0" fillId="2" borderId="0" xfId="0" applyFill="1">
      <alignment vertical="center"/>
    </xf>
    <xf numFmtId="0" fontId="2" fillId="0" borderId="1" xfId="0" quotePrefix="1" applyFont="1" applyFill="1" applyBorder="1" applyAlignment="1">
      <alignment horizontal="center" vertical="center"/>
    </xf>
    <xf numFmtId="164" fontId="0" fillId="0" borderId="1" xfId="2" applyFont="1" applyBorder="1" applyAlignment="1">
      <alignment vertical="center"/>
    </xf>
    <xf numFmtId="164" fontId="16" fillId="3" borderId="1" xfId="2" applyFont="1" applyFill="1" applyBorder="1" applyAlignment="1">
      <alignment horizontal="center" vertical="center" wrapText="1"/>
    </xf>
    <xf numFmtId="164" fontId="16" fillId="3" borderId="1" xfId="2" applyFont="1" applyFill="1" applyBorder="1" applyAlignment="1">
      <alignment horizontal="center" vertical="center"/>
    </xf>
    <xf numFmtId="164" fontId="16" fillId="0" borderId="1" xfId="2" applyFont="1" applyFill="1" applyBorder="1" applyAlignment="1">
      <alignment horizontal="center" vertical="center" wrapText="1"/>
    </xf>
    <xf numFmtId="164" fontId="16" fillId="0" borderId="1" xfId="2" applyFont="1" applyBorder="1" applyAlignment="1">
      <alignment horizontal="left" vertical="center"/>
    </xf>
    <xf numFmtId="164" fontId="16" fillId="0" borderId="1" xfId="2" applyFont="1" applyFill="1" applyBorder="1" applyAlignment="1">
      <alignment horizontal="left" vertical="center"/>
    </xf>
    <xf numFmtId="164" fontId="16" fillId="0" borderId="1" xfId="2" applyFont="1" applyFill="1" applyBorder="1" applyAlignment="1">
      <alignment horizontal="left" vertical="center" wrapText="1"/>
    </xf>
    <xf numFmtId="164" fontId="16" fillId="0" borderId="1" xfId="2" applyFont="1" applyFill="1" applyBorder="1" applyAlignment="1">
      <alignment horizontal="center" vertical="center"/>
    </xf>
    <xf numFmtId="164" fontId="16" fillId="0" borderId="1" xfId="2" applyFont="1" applyFill="1" applyBorder="1" applyAlignment="1">
      <alignment horizontal="right" vertical="center" wrapText="1"/>
    </xf>
    <xf numFmtId="164" fontId="16" fillId="6" borderId="1" xfId="2" applyFont="1" applyFill="1" applyBorder="1" applyAlignment="1">
      <alignment horizontal="center" vertical="center" wrapText="1"/>
    </xf>
    <xf numFmtId="164" fontId="16" fillId="6" borderId="1" xfId="2" applyFont="1" applyFill="1" applyBorder="1" applyAlignment="1">
      <alignment horizontal="left" vertical="center" wrapText="1"/>
    </xf>
    <xf numFmtId="164" fontId="16" fillId="6" borderId="1" xfId="2" applyFont="1" applyFill="1" applyBorder="1" applyAlignment="1">
      <alignment horizontal="left" vertical="center"/>
    </xf>
    <xf numFmtId="164" fontId="16" fillId="6" borderId="1" xfId="2" applyFont="1" applyFill="1" applyBorder="1" applyAlignment="1">
      <alignment horizontal="center" vertical="center"/>
    </xf>
    <xf numFmtId="164" fontId="16" fillId="6" borderId="1" xfId="2" applyFont="1" applyFill="1" applyBorder="1" applyAlignment="1">
      <alignment horizontal="right" vertical="center" wrapText="1"/>
    </xf>
    <xf numFmtId="164" fontId="16" fillId="6" borderId="1" xfId="2" applyFont="1" applyFill="1" applyBorder="1" applyAlignment="1">
      <alignment horizontal="right" vertical="center"/>
    </xf>
    <xf numFmtId="164" fontId="16" fillId="0" borderId="1" xfId="2" quotePrefix="1" applyFont="1" applyFill="1" applyBorder="1" applyAlignment="1">
      <alignment horizontal="center" vertical="center"/>
    </xf>
    <xf numFmtId="164" fontId="16" fillId="0" borderId="1" xfId="2" applyFont="1" applyFill="1" applyBorder="1" applyAlignment="1">
      <alignment horizontal="right" vertical="center"/>
    </xf>
    <xf numFmtId="164" fontId="16" fillId="2" borderId="1" xfId="2" applyFont="1" applyFill="1" applyBorder="1" applyAlignment="1">
      <alignment horizontal="center" vertical="center" wrapText="1"/>
    </xf>
    <xf numFmtId="164" fontId="16" fillId="2" borderId="1" xfId="2" applyFont="1" applyFill="1" applyBorder="1" applyAlignment="1">
      <alignment horizontal="left" vertical="center"/>
    </xf>
    <xf numFmtId="164" fontId="16" fillId="2" borderId="1" xfId="2" applyFont="1" applyFill="1" applyBorder="1" applyAlignment="1">
      <alignment horizontal="center" vertical="center"/>
    </xf>
    <xf numFmtId="164" fontId="16" fillId="2" borderId="1" xfId="2" applyFont="1" applyFill="1" applyBorder="1" applyAlignment="1">
      <alignment horizontal="right" vertical="center"/>
    </xf>
    <xf numFmtId="164" fontId="16" fillId="2" borderId="1" xfId="2" applyFont="1" applyFill="1" applyBorder="1" applyAlignment="1">
      <alignment horizontal="right" vertical="center" wrapText="1"/>
    </xf>
    <xf numFmtId="164" fontId="16" fillId="2" borderId="1" xfId="2" applyFont="1" applyFill="1" applyBorder="1" applyAlignment="1">
      <alignment horizontal="left" vertical="center" wrapText="1"/>
    </xf>
    <xf numFmtId="164" fontId="17" fillId="0" borderId="1" xfId="2" applyFont="1" applyBorder="1" applyAlignment="1">
      <alignment vertical="center"/>
    </xf>
    <xf numFmtId="164" fontId="16" fillId="3" borderId="1" xfId="2" applyFont="1" applyFill="1" applyBorder="1" applyAlignment="1">
      <alignment horizontal="left" vertical="center"/>
    </xf>
    <xf numFmtId="164" fontId="16" fillId="3" borderId="1" xfId="2" applyFont="1" applyFill="1" applyBorder="1" applyAlignment="1">
      <alignment horizontal="right" vertical="center"/>
    </xf>
    <xf numFmtId="164" fontId="9" fillId="0" borderId="0" xfId="2" quotePrefix="1" applyFont="1" applyAlignment="1">
      <alignment vertical="center"/>
    </xf>
    <xf numFmtId="164" fontId="9" fillId="0" borderId="1" xfId="2" applyFont="1" applyBorder="1" applyAlignment="1">
      <alignment vertical="center"/>
    </xf>
    <xf numFmtId="164" fontId="0" fillId="3" borderId="1" xfId="2" applyFont="1" applyFill="1" applyBorder="1" applyAlignment="1">
      <alignment vertical="center"/>
    </xf>
    <xf numFmtId="168" fontId="5" fillId="0" borderId="0" xfId="2" applyNumberFormat="1" applyFont="1" applyFill="1" applyAlignment="1" applyProtection="1">
      <alignment horizontal="right" vertical="center"/>
    </xf>
    <xf numFmtId="164" fontId="0" fillId="0" borderId="0" xfId="0" applyNumberFormat="1">
      <alignment vertical="center"/>
    </xf>
    <xf numFmtId="0" fontId="0" fillId="0" borderId="0" xfId="0" applyFill="1">
      <alignment vertical="center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left" vertical="center"/>
    </xf>
    <xf numFmtId="164" fontId="2" fillId="2" borderId="1" xfId="2" applyFont="1" applyFill="1" applyBorder="1" applyAlignment="1">
      <alignment horizontal="right" vertical="center" wrapText="1"/>
    </xf>
    <xf numFmtId="0" fontId="0" fillId="0" borderId="1" xfId="0" applyFill="1" applyBorder="1" applyAlignment="1">
      <alignment vertical="center"/>
    </xf>
    <xf numFmtId="164" fontId="8" fillId="0" borderId="1" xfId="2" applyFont="1" applyFill="1" applyBorder="1" applyAlignment="1">
      <alignment horizontal="right" vertical="center" wrapText="1"/>
    </xf>
    <xf numFmtId="164" fontId="18" fillId="0" borderId="1" xfId="2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right" vertical="center"/>
    </xf>
    <xf numFmtId="0" fontId="1" fillId="0" borderId="0" xfId="0" applyFont="1" applyFill="1" applyAlignment="1"/>
    <xf numFmtId="0" fontId="1" fillId="2" borderId="0" xfId="0" applyFont="1" applyFill="1" applyAlignment="1"/>
    <xf numFmtId="0" fontId="2" fillId="2" borderId="0" xfId="0" applyFont="1" applyFill="1" applyAlignment="1">
      <alignment horizontal="left"/>
    </xf>
    <xf numFmtId="37" fontId="2" fillId="2" borderId="1" xfId="2" applyNumberFormat="1" applyFont="1" applyFill="1" applyBorder="1" applyAlignment="1">
      <alignment horizontal="right" vertical="center" wrapText="1"/>
    </xf>
    <xf numFmtId="37" fontId="2" fillId="0" borderId="1" xfId="2" applyNumberFormat="1" applyFont="1" applyFill="1" applyBorder="1" applyAlignment="1">
      <alignment horizontal="right" vertical="center" wrapText="1"/>
    </xf>
    <xf numFmtId="37" fontId="2" fillId="3" borderId="1" xfId="2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164" fontId="2" fillId="0" borderId="1" xfId="2" applyFont="1" applyFill="1" applyBorder="1" applyAlignment="1">
      <alignment horizontal="right" vertical="center" wrapText="1"/>
    </xf>
    <xf numFmtId="0" fontId="2" fillId="0" borderId="1" xfId="3" quotePrefix="1" applyFont="1" applyFill="1" applyBorder="1" applyAlignment="1">
      <alignment horizontal="left" vertical="center" wrapText="1"/>
    </xf>
    <xf numFmtId="0" fontId="21" fillId="7" borderId="0" xfId="0" applyFont="1" applyFill="1">
      <alignment vertical="center"/>
    </xf>
    <xf numFmtId="169" fontId="22" fillId="0" borderId="0" xfId="5" applyNumberFormat="1" applyFont="1" applyAlignment="1"/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164" fontId="2" fillId="0" borderId="1" xfId="2" applyFont="1" applyFill="1" applyBorder="1" applyAlignment="1">
      <alignment horizontal="right" vertical="center" wrapText="1"/>
    </xf>
    <xf numFmtId="0" fontId="2" fillId="6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9" fillId="0" borderId="1" xfId="0" applyFont="1" applyBorder="1">
      <alignment vertical="center"/>
    </xf>
    <xf numFmtId="0" fontId="23" fillId="0" borderId="1" xfId="0" applyFont="1" applyBorder="1" applyAlignment="1">
      <alignment horizontal="center" vertical="center"/>
    </xf>
    <xf numFmtId="164" fontId="24" fillId="0" borderId="1" xfId="2" applyFont="1" applyFill="1" applyBorder="1" applyAlignment="1">
      <alignment horizontal="right" vertical="center" wrapText="1"/>
    </xf>
    <xf numFmtId="164" fontId="24" fillId="2" borderId="1" xfId="2" applyFont="1" applyFill="1" applyBorder="1" applyAlignment="1">
      <alignment horizontal="right" vertical="center" wrapText="1"/>
    </xf>
    <xf numFmtId="0" fontId="25" fillId="0" borderId="0" xfId="0" applyFont="1" applyFill="1" applyAlignment="1"/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right" vertical="center"/>
    </xf>
    <xf numFmtId="37" fontId="8" fillId="0" borderId="1" xfId="2" applyNumberFormat="1" applyFont="1" applyFill="1" applyBorder="1" applyAlignment="1">
      <alignment horizontal="right" vertical="center" wrapText="1"/>
    </xf>
    <xf numFmtId="0" fontId="9" fillId="0" borderId="0" xfId="0" applyFont="1" applyFill="1">
      <alignment vertical="center"/>
    </xf>
    <xf numFmtId="0" fontId="8" fillId="0" borderId="0" xfId="0" applyFont="1" applyFill="1" applyAlignment="1">
      <alignment horizontal="left"/>
    </xf>
    <xf numFmtId="164" fontId="26" fillId="0" borderId="1" xfId="2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horizontal="right" vertical="center"/>
    </xf>
    <xf numFmtId="169" fontId="0" fillId="0" borderId="0" xfId="5" applyNumberFormat="1" applyFont="1" applyFill="1" applyAlignment="1">
      <alignment vertical="center"/>
    </xf>
    <xf numFmtId="169" fontId="0" fillId="2" borderId="0" xfId="5" applyNumberFormat="1" applyFont="1" applyFill="1" applyAlignment="1">
      <alignment vertical="center"/>
    </xf>
    <xf numFmtId="169" fontId="9" fillId="0" borderId="0" xfId="5" applyNumberFormat="1" applyFont="1" applyFill="1" applyAlignment="1">
      <alignment vertical="center"/>
    </xf>
    <xf numFmtId="169" fontId="0" fillId="3" borderId="0" xfId="5" applyNumberFormat="1" applyFont="1" applyFill="1" applyAlignment="1">
      <alignment vertical="center"/>
    </xf>
    <xf numFmtId="0" fontId="2" fillId="2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quotePrefix="1" applyFont="1" applyBorder="1" applyAlignment="1">
      <alignment horizontal="center" vertical="center"/>
    </xf>
    <xf numFmtId="164" fontId="2" fillId="0" borderId="1" xfId="2" quotePrefix="1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14" fillId="5" borderId="0" xfId="1" applyFont="1" applyFill="1" applyAlignment="1" applyProtection="1">
      <alignment horizontal="right" vertical="center"/>
    </xf>
    <xf numFmtId="0" fontId="14" fillId="4" borderId="0" xfId="1" applyFont="1" applyFill="1" applyAlignment="1" applyProtection="1">
      <alignment horizontal="right" vertical="center"/>
    </xf>
    <xf numFmtId="3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165" fontId="11" fillId="0" borderId="4" xfId="0" applyNumberFormat="1" applyFont="1" applyBorder="1" applyAlignment="1">
      <alignment horizontal="left"/>
    </xf>
    <xf numFmtId="22" fontId="13" fillId="0" borderId="2" xfId="0" applyNumberFormat="1" applyFont="1" applyBorder="1" applyAlignment="1">
      <alignment horizontal="center" vertical="center"/>
    </xf>
    <xf numFmtId="164" fontId="2" fillId="6" borderId="0" xfId="2" applyFont="1" applyFill="1" applyAlignment="1">
      <alignment horizontal="right" vertical="center"/>
    </xf>
    <xf numFmtId="0" fontId="23" fillId="0" borderId="1" xfId="0" quotePrefix="1" applyFont="1" applyBorder="1">
      <alignment vertical="center"/>
    </xf>
    <xf numFmtId="169" fontId="27" fillId="0" borderId="0" xfId="5" applyNumberFormat="1" applyFont="1" applyFill="1" applyAlignment="1">
      <alignment horizontal="left"/>
    </xf>
    <xf numFmtId="43" fontId="27" fillId="0" borderId="0" xfId="0" applyNumberFormat="1" applyFont="1" applyFill="1" applyAlignment="1">
      <alignment horizontal="left"/>
    </xf>
    <xf numFmtId="169" fontId="27" fillId="0" borderId="0" xfId="0" applyNumberFormat="1" applyFont="1" applyFill="1" applyAlignment="1">
      <alignment horizontal="left"/>
    </xf>
    <xf numFmtId="0" fontId="1" fillId="3" borderId="1" xfId="0" applyFont="1" applyFill="1" applyBorder="1" applyAlignment="1">
      <alignment horizontal="left"/>
    </xf>
    <xf numFmtId="169" fontId="0" fillId="0" borderId="1" xfId="0" applyNumberFormat="1" applyBorder="1">
      <alignment vertical="center"/>
    </xf>
    <xf numFmtId="169" fontId="0" fillId="3" borderId="1" xfId="0" applyNumberFormat="1" applyFill="1" applyBorder="1">
      <alignment vertical="center"/>
    </xf>
    <xf numFmtId="0" fontId="1" fillId="0" borderId="1" xfId="0" applyFont="1" applyBorder="1" applyAlignment="1">
      <alignment horizontal="left"/>
    </xf>
    <xf numFmtId="0" fontId="2" fillId="0" borderId="1" xfId="0" applyFont="1" applyFill="1" applyBorder="1" applyAlignment="1"/>
    <xf numFmtId="3" fontId="2" fillId="3" borderId="1" xfId="0" applyNumberFormat="1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3" fontId="0" fillId="3" borderId="1" xfId="0" applyNumberForma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3" fontId="2" fillId="0" borderId="1" xfId="0" applyNumberFormat="1" applyFont="1" applyFill="1" applyBorder="1" applyAlignment="1">
      <alignment vertical="center"/>
    </xf>
    <xf numFmtId="0" fontId="0" fillId="8" borderId="1" xfId="0" applyFill="1" applyBorder="1">
      <alignment vertical="center"/>
    </xf>
    <xf numFmtId="0" fontId="0" fillId="8" borderId="1" xfId="0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69" fontId="0" fillId="8" borderId="1" xfId="0" applyNumberFormat="1" applyFill="1" applyBorder="1">
      <alignment vertical="center"/>
    </xf>
  </cellXfs>
  <cellStyles count="6">
    <cellStyle name="Comma" xfId="5" builtinId="3"/>
    <cellStyle name="Comma [0]" xfId="2" builtinId="6"/>
    <cellStyle name="Normal" xfId="0" builtinId="0"/>
    <cellStyle name="Normal 2" xfId="1" xr:uid="{00000000-0005-0000-0000-000002000000}"/>
    <cellStyle name="Normal 2 2" xfId="4" xr:uid="{963117AA-EF28-4417-9CE4-79C758111505}"/>
    <cellStyle name="Normal 3" xfId="3" xr:uid="{35993C0F-0087-4F9B-87A0-30A3A69B45FF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P47"/>
  <sheetViews>
    <sheetView tabSelected="1" topLeftCell="B1" zoomScale="55" zoomScaleNormal="55" workbookViewId="0">
      <selection activeCell="X36" sqref="X36"/>
    </sheetView>
  </sheetViews>
  <sheetFormatPr defaultColWidth="10" defaultRowHeight="15" x14ac:dyDescent="0.25"/>
  <cols>
    <col min="2" max="2" width="4.7109375" customWidth="1"/>
    <col min="3" max="3" width="15.140625" customWidth="1"/>
    <col min="4" max="4" width="13.28515625" customWidth="1"/>
    <col min="5" max="5" width="11.42578125" customWidth="1"/>
    <col min="6" max="6" width="12.85546875" bestFit="1" customWidth="1"/>
    <col min="7" max="7" width="8.42578125" customWidth="1"/>
    <col min="9" max="9" width="11.140625" bestFit="1" customWidth="1"/>
    <col min="10" max="10" width="11" bestFit="1" customWidth="1"/>
    <col min="15" max="15" width="9.85546875" customWidth="1"/>
    <col min="16" max="16" width="10.85546875" customWidth="1"/>
    <col min="17" max="17" width="15.42578125" bestFit="1" customWidth="1"/>
    <col min="18" max="18" width="13.28515625" bestFit="1" customWidth="1"/>
    <col min="19" max="19" width="14.42578125" bestFit="1" customWidth="1"/>
    <col min="20" max="21" width="13.28515625" bestFit="1" customWidth="1"/>
    <col min="22" max="22" width="12.7109375" customWidth="1"/>
    <col min="23" max="23" width="12.85546875" bestFit="1" customWidth="1"/>
    <col min="24" max="24" width="13.28515625" bestFit="1" customWidth="1"/>
    <col min="25" max="25" width="14.42578125" bestFit="1" customWidth="1"/>
    <col min="26" max="26" width="16.5703125" bestFit="1" customWidth="1"/>
    <col min="27" max="27" width="4.85546875" customWidth="1"/>
    <col min="28" max="28" width="3.7109375" customWidth="1"/>
    <col min="29" max="29" width="5.5703125" customWidth="1"/>
    <col min="30" max="30" width="3.28515625" customWidth="1"/>
    <col min="34" max="34" width="10.140625" customWidth="1"/>
    <col min="38" max="38" width="15.85546875" bestFit="1" customWidth="1"/>
    <col min="39" max="39" width="13" bestFit="1" customWidth="1"/>
    <col min="41" max="41" width="10.85546875" bestFit="1" customWidth="1"/>
    <col min="43" max="43" width="14.28515625" customWidth="1"/>
  </cols>
  <sheetData>
    <row r="1" spans="1:42" ht="15.75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42" ht="26.25" x14ac:dyDescent="0.4">
      <c r="A2" s="24"/>
      <c r="B2" s="25" t="s">
        <v>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42" ht="26.25" x14ac:dyDescent="0.4">
      <c r="A3" s="24"/>
      <c r="B3" s="148">
        <v>45627</v>
      </c>
      <c r="C3" s="148"/>
      <c r="D3" s="148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42" ht="45" x14ac:dyDescent="0.25">
      <c r="A4" s="1"/>
      <c r="B4" s="26" t="s">
        <v>1</v>
      </c>
      <c r="C4" s="26" t="s">
        <v>2</v>
      </c>
      <c r="D4" s="27" t="s">
        <v>3</v>
      </c>
      <c r="E4" s="26" t="s">
        <v>4</v>
      </c>
      <c r="F4" s="26" t="s">
        <v>5</v>
      </c>
      <c r="G4" s="26" t="s">
        <v>6</v>
      </c>
      <c r="H4" s="26" t="s">
        <v>7</v>
      </c>
      <c r="I4" s="26" t="s">
        <v>8</v>
      </c>
      <c r="J4" s="26" t="s">
        <v>9</v>
      </c>
      <c r="K4" s="26" t="s">
        <v>10</v>
      </c>
      <c r="L4" s="26" t="s">
        <v>11</v>
      </c>
      <c r="M4" s="26" t="s">
        <v>12</v>
      </c>
      <c r="N4" s="26" t="s">
        <v>13</v>
      </c>
      <c r="O4" s="26" t="s">
        <v>14</v>
      </c>
      <c r="P4" s="26" t="s">
        <v>15</v>
      </c>
      <c r="Q4" s="26" t="s">
        <v>16</v>
      </c>
      <c r="R4" s="26" t="s">
        <v>4</v>
      </c>
      <c r="S4" s="26" t="s">
        <v>5</v>
      </c>
      <c r="T4" s="26" t="s">
        <v>6</v>
      </c>
      <c r="U4" s="26" t="s">
        <v>17</v>
      </c>
      <c r="V4" s="26" t="s">
        <v>18</v>
      </c>
      <c r="W4" s="26" t="s">
        <v>83</v>
      </c>
      <c r="X4" s="26" t="s">
        <v>19</v>
      </c>
      <c r="Y4" s="26" t="s">
        <v>20</v>
      </c>
      <c r="Z4" s="26" t="s">
        <v>21</v>
      </c>
      <c r="AE4" s="29" t="s">
        <v>21</v>
      </c>
      <c r="AF4" s="30" t="s">
        <v>37</v>
      </c>
      <c r="AG4" s="30" t="s">
        <v>38</v>
      </c>
      <c r="AH4" s="31" t="s">
        <v>21</v>
      </c>
      <c r="AI4" s="141" t="s">
        <v>37</v>
      </c>
      <c r="AJ4" s="142"/>
      <c r="AL4" s="42" t="s">
        <v>63</v>
      </c>
    </row>
    <row r="5" spans="1:42" s="81" customFormat="1" ht="26.1" customHeight="1" x14ac:dyDescent="0.25">
      <c r="A5" s="90"/>
      <c r="B5" s="106">
        <v>1</v>
      </c>
      <c r="C5" s="104" t="s">
        <v>68</v>
      </c>
      <c r="D5" s="104" t="s">
        <v>3</v>
      </c>
      <c r="E5" s="102" t="s">
        <v>52</v>
      </c>
      <c r="F5" s="102"/>
      <c r="G5" s="102"/>
      <c r="H5" s="102"/>
      <c r="I5" s="139" t="s">
        <v>53</v>
      </c>
      <c r="J5" s="102"/>
      <c r="K5" s="102" t="s">
        <v>23</v>
      </c>
      <c r="L5" s="132">
        <v>12</v>
      </c>
      <c r="M5" s="132">
        <v>35</v>
      </c>
      <c r="N5" s="132">
        <v>179</v>
      </c>
      <c r="O5" s="132"/>
      <c r="P5" s="118">
        <f t="shared" ref="P5:P18" si="0">SUM(L5:O5)</f>
        <v>226</v>
      </c>
      <c r="Q5" s="84">
        <f>((data!$A$3/8)*L5)+((data!$B$3/8)*(M5+N5+O5))+(P5*$E$25)</f>
        <v>962000</v>
      </c>
      <c r="R5" s="112">
        <f t="shared" ref="R5:R15" si="1">IF(D5="Percobaan",0,IF(AND(E5="",G5&gt;0,H5="ok"),100000,IF(AND(E5="",G5&gt;0,H5=""),50000,IF(AND(E5=""),100000,0))))</f>
        <v>0</v>
      </c>
      <c r="S5" s="84">
        <f t="shared" ref="S5" si="2">((P5/8)*1000)</f>
        <v>28250</v>
      </c>
      <c r="T5" s="84">
        <f t="shared" ref="T5:T6" si="3">IF(AND(G5&gt;0,H5=""),50000,IF(AND(G5&gt;0,H5="ok"),G5*50000,0))</f>
        <v>0</v>
      </c>
      <c r="U5" s="84">
        <f>IF(I5="+",P5/8*3000,IF(I5="-",0,P5/8*2000))</f>
        <v>84750</v>
      </c>
      <c r="V5" s="93">
        <f t="shared" ref="V5:V7" si="4">J5*-12500</f>
        <v>0</v>
      </c>
      <c r="W5" s="84">
        <v>35000</v>
      </c>
      <c r="X5" s="84">
        <f>IF(K5="ok",50000+AB5,0+AB5)</f>
        <v>50000</v>
      </c>
      <c r="Y5" s="84">
        <v>100000</v>
      </c>
      <c r="Z5" s="84">
        <f t="shared" ref="Z5:Z16" si="5">CEILING(SUM(Q5:Y5),500)</f>
        <v>1260000</v>
      </c>
      <c r="AA5" s="48"/>
      <c r="AB5" s="48"/>
      <c r="AC5" s="48"/>
      <c r="AD5" s="48"/>
      <c r="AE5" s="48">
        <f t="shared" ref="AE5:AE16" si="6">P5/8</f>
        <v>28.25</v>
      </c>
      <c r="AF5" s="48"/>
      <c r="AG5" s="48">
        <f t="shared" ref="AG5:AG11" si="7">AE5-AF5</f>
        <v>28.25</v>
      </c>
      <c r="AH5" s="48">
        <f>AE5+AJ5</f>
        <v>39.25</v>
      </c>
      <c r="AI5" s="131">
        <v>88</v>
      </c>
      <c r="AJ5" s="48">
        <f>AI5/8</f>
        <v>11</v>
      </c>
      <c r="AL5" s="127">
        <v>1037500</v>
      </c>
      <c r="AM5" s="81" t="str">
        <f>C5</f>
        <v>Gilang</v>
      </c>
      <c r="AO5" s="11"/>
      <c r="AP5" s="81">
        <f>AO5*AN5</f>
        <v>0</v>
      </c>
    </row>
    <row r="6" spans="1:42" s="81" customFormat="1" ht="26.1" customHeight="1" x14ac:dyDescent="0.25">
      <c r="A6" s="90"/>
      <c r="B6" s="2">
        <v>2</v>
      </c>
      <c r="C6" s="133" t="s">
        <v>30</v>
      </c>
      <c r="D6" s="134" t="s">
        <v>25</v>
      </c>
      <c r="E6" s="135" t="s">
        <v>52</v>
      </c>
      <c r="F6" s="135" t="s">
        <v>66</v>
      </c>
      <c r="G6" s="135"/>
      <c r="H6" s="135"/>
      <c r="I6" s="135" t="s">
        <v>53</v>
      </c>
      <c r="J6" s="136"/>
      <c r="K6" s="135"/>
      <c r="L6" s="137">
        <v>213</v>
      </c>
      <c r="M6" s="137">
        <v>10</v>
      </c>
      <c r="N6" s="137">
        <v>4</v>
      </c>
      <c r="O6" s="113"/>
      <c r="P6" s="117">
        <f t="shared" si="0"/>
        <v>227</v>
      </c>
      <c r="Q6" s="97">
        <f>((data!$A$3/8)*L6)+((data!$B$3/8)*(M6+N6+O6))+(P6*$E$25)</f>
        <v>991375</v>
      </c>
      <c r="R6" s="112">
        <f t="shared" si="1"/>
        <v>0</v>
      </c>
      <c r="S6" s="112">
        <v>0</v>
      </c>
      <c r="T6" s="97">
        <f t="shared" si="3"/>
        <v>0</v>
      </c>
      <c r="U6" s="97">
        <f>IF(I6="+",P6/8*3000,IF(I6="-",0,P6/8*2000))</f>
        <v>85125</v>
      </c>
      <c r="V6" s="94">
        <f t="shared" si="4"/>
        <v>0</v>
      </c>
      <c r="W6" s="97">
        <v>43750</v>
      </c>
      <c r="X6" s="97"/>
      <c r="Y6" s="97">
        <v>7500</v>
      </c>
      <c r="Z6" s="97">
        <f t="shared" si="5"/>
        <v>1128000</v>
      </c>
      <c r="AE6" s="81">
        <f t="shared" si="6"/>
        <v>28.375</v>
      </c>
      <c r="AG6" s="81">
        <f t="shared" si="7"/>
        <v>28.375</v>
      </c>
      <c r="AH6" s="81">
        <f t="shared" ref="AH6:AH16" si="8">AE6+AJ6</f>
        <v>28.375</v>
      </c>
      <c r="AI6" s="113"/>
      <c r="AJ6" s="81">
        <f t="shared" ref="AJ6:AJ15" si="9">AI6/8</f>
        <v>0</v>
      </c>
      <c r="AL6" s="127">
        <v>834000</v>
      </c>
      <c r="AM6" s="81" t="str">
        <f t="shared" ref="AM6:AM18" si="10">C6</f>
        <v>Ridwan</v>
      </c>
      <c r="AO6" s="11"/>
      <c r="AP6" s="81">
        <f t="shared" ref="AP6:AP17" si="11">AO6*AN6</f>
        <v>0</v>
      </c>
    </row>
    <row r="7" spans="1:42" s="81" customFormat="1" ht="26.1" customHeight="1" x14ac:dyDescent="0.25">
      <c r="A7" s="90"/>
      <c r="B7" s="2">
        <v>3</v>
      </c>
      <c r="C7" s="110" t="s">
        <v>64</v>
      </c>
      <c r="D7" s="104" t="s">
        <v>3</v>
      </c>
      <c r="E7" s="103" t="s">
        <v>52</v>
      </c>
      <c r="F7" s="103"/>
      <c r="G7" s="103">
        <v>1</v>
      </c>
      <c r="H7" s="103"/>
      <c r="I7" s="103" t="s">
        <v>50</v>
      </c>
      <c r="J7" s="102"/>
      <c r="K7" s="103"/>
      <c r="L7" s="108">
        <v>61</v>
      </c>
      <c r="M7" s="108">
        <v>26</v>
      </c>
      <c r="N7" s="108">
        <v>36</v>
      </c>
      <c r="O7" s="108"/>
      <c r="P7" s="117">
        <f t="shared" si="0"/>
        <v>123</v>
      </c>
      <c r="Q7" s="97">
        <f>((data!$A$3/8)*L7)+((data!$B$3/8)*(M7+N7+O7))+(P7*$E$25)</f>
        <v>530375</v>
      </c>
      <c r="R7" s="97">
        <f t="shared" si="1"/>
        <v>0</v>
      </c>
      <c r="S7" s="112">
        <f t="shared" ref="S7:S17" si="12">((P7/8)*1000)</f>
        <v>15375</v>
      </c>
      <c r="T7" s="97"/>
      <c r="U7" s="97">
        <f>IF(I7="+",P7/8*3000,IF(I7="-",0,P7/8*2000))</f>
        <v>0</v>
      </c>
      <c r="V7" s="94">
        <f t="shared" si="4"/>
        <v>0</v>
      </c>
      <c r="W7" s="97">
        <v>17500</v>
      </c>
      <c r="X7" s="97">
        <f t="shared" ref="X7" si="13">IF(K7="ok",50000+AB7,0+AB7)</f>
        <v>0</v>
      </c>
      <c r="Y7" s="97">
        <v>39500</v>
      </c>
      <c r="Z7" s="97">
        <f t="shared" si="5"/>
        <v>603000</v>
      </c>
      <c r="AE7" s="81">
        <f t="shared" si="6"/>
        <v>15.375</v>
      </c>
      <c r="AG7" s="81">
        <f t="shared" si="7"/>
        <v>15.375</v>
      </c>
      <c r="AH7" s="81">
        <f t="shared" si="8"/>
        <v>18.375</v>
      </c>
      <c r="AI7" s="126">
        <v>24</v>
      </c>
      <c r="AJ7" s="81">
        <f t="shared" si="9"/>
        <v>3</v>
      </c>
      <c r="AL7" s="127">
        <v>610500</v>
      </c>
      <c r="AM7" s="81" t="str">
        <f t="shared" si="10"/>
        <v>Erwin</v>
      </c>
      <c r="AO7" s="11"/>
      <c r="AP7" s="81">
        <f t="shared" si="11"/>
        <v>0</v>
      </c>
    </row>
    <row r="8" spans="1:42" s="81" customFormat="1" ht="26.1" customHeight="1" x14ac:dyDescent="0.25">
      <c r="A8" s="90"/>
      <c r="B8" s="2">
        <v>4</v>
      </c>
      <c r="C8" s="104" t="s">
        <v>69</v>
      </c>
      <c r="D8" s="104" t="s">
        <v>3</v>
      </c>
      <c r="E8" s="102" t="s">
        <v>52</v>
      </c>
      <c r="F8" s="103"/>
      <c r="G8" s="103"/>
      <c r="H8" s="103"/>
      <c r="I8" s="103" t="s">
        <v>50</v>
      </c>
      <c r="J8" s="102"/>
      <c r="K8" s="103"/>
      <c r="L8" s="108">
        <v>0</v>
      </c>
      <c r="M8" s="108">
        <v>119</v>
      </c>
      <c r="N8" s="108">
        <v>0</v>
      </c>
      <c r="O8" s="108"/>
      <c r="P8" s="117">
        <f>SUM(L8:O8)</f>
        <v>119</v>
      </c>
      <c r="Q8" s="97">
        <f>((data!$A$3/8)*L8)+((data!$B$3/8)*(M8+N8+O8))+(P8*$E$25)</f>
        <v>505750</v>
      </c>
      <c r="R8" s="112">
        <f t="shared" si="1"/>
        <v>0</v>
      </c>
      <c r="S8" s="97">
        <f t="shared" si="12"/>
        <v>14875</v>
      </c>
      <c r="T8" s="97">
        <f t="shared" ref="T8:T16" si="14">IF(AND(G8&gt;0,H8=""),50000,IF(AND(G8&gt;0,H8="ok"),G8*50000,0))</f>
        <v>0</v>
      </c>
      <c r="U8" s="97">
        <f>IF(I8="+",P8/8*3000,IF(I8="-",0,P8/8*2000))</f>
        <v>0</v>
      </c>
      <c r="V8" s="94">
        <f t="shared" ref="V8:V16" si="15">J8*-12500</f>
        <v>0</v>
      </c>
      <c r="W8" s="97">
        <v>17500</v>
      </c>
      <c r="X8" s="97"/>
      <c r="Y8" s="97">
        <v>56000</v>
      </c>
      <c r="Z8" s="97">
        <f t="shared" si="5"/>
        <v>594500</v>
      </c>
      <c r="AE8" s="81">
        <f t="shared" si="6"/>
        <v>14.875</v>
      </c>
      <c r="AG8" s="81">
        <f t="shared" si="7"/>
        <v>14.875</v>
      </c>
      <c r="AH8" s="81">
        <f t="shared" si="8"/>
        <v>14.875</v>
      </c>
      <c r="AI8" s="108"/>
      <c r="AJ8" s="81">
        <f t="shared" si="9"/>
        <v>0</v>
      </c>
      <c r="AL8" s="127">
        <v>637500</v>
      </c>
      <c r="AM8" s="81" t="str">
        <f t="shared" ref="AM8:AM15" si="16">C8</f>
        <v>Yulika</v>
      </c>
      <c r="AO8" s="11"/>
      <c r="AP8" s="81">
        <f t="shared" si="11"/>
        <v>0</v>
      </c>
    </row>
    <row r="9" spans="1:42" s="48" customFormat="1" ht="26.1" customHeight="1" x14ac:dyDescent="0.25">
      <c r="A9" s="91"/>
      <c r="B9" s="96">
        <v>5</v>
      </c>
      <c r="C9" s="107" t="s">
        <v>71</v>
      </c>
      <c r="D9" s="107" t="s">
        <v>25</v>
      </c>
      <c r="E9" s="106" t="s">
        <v>52</v>
      </c>
      <c r="F9" s="105"/>
      <c r="G9" s="105"/>
      <c r="H9" s="105"/>
      <c r="I9" s="105" t="s">
        <v>53</v>
      </c>
      <c r="J9" s="106"/>
      <c r="K9" s="105" t="s">
        <v>23</v>
      </c>
      <c r="L9" s="109">
        <v>4</v>
      </c>
      <c r="M9" s="109">
        <v>15</v>
      </c>
      <c r="N9" s="109">
        <v>228</v>
      </c>
      <c r="O9" s="109"/>
      <c r="P9" s="118">
        <f t="shared" si="0"/>
        <v>247</v>
      </c>
      <c r="Q9" s="84">
        <f>((data!$A$3/8)*L9)+((data!$B$3/8)*(M9+N9+O9))+(P9*$E$25)</f>
        <v>1050250</v>
      </c>
      <c r="R9" s="112">
        <f t="shared" si="1"/>
        <v>0</v>
      </c>
      <c r="S9" s="112">
        <f t="shared" si="12"/>
        <v>30875</v>
      </c>
      <c r="T9" s="84">
        <v>0</v>
      </c>
      <c r="U9" s="84">
        <f t="shared" ref="U9:U14" si="17">IF(OR(D9="Percobaan",D9=""),0,IF(I9="+",P9/8*3000,IF(I9="-",0,P9/8*2000)))</f>
        <v>0</v>
      </c>
      <c r="V9" s="93">
        <f t="shared" si="15"/>
        <v>0</v>
      </c>
      <c r="W9" s="84">
        <v>43750</v>
      </c>
      <c r="X9" s="84">
        <f>IF(K9="ok",50000+AB9,0+AB9)</f>
        <v>50000</v>
      </c>
      <c r="Y9" s="84">
        <v>5500</v>
      </c>
      <c r="Z9" s="84">
        <f t="shared" si="5"/>
        <v>1180500</v>
      </c>
      <c r="AE9" s="48">
        <f t="shared" si="6"/>
        <v>30.875</v>
      </c>
      <c r="AF9" s="81"/>
      <c r="AG9" s="48">
        <f t="shared" si="7"/>
        <v>30.875</v>
      </c>
      <c r="AH9" s="81">
        <f t="shared" si="8"/>
        <v>32.875</v>
      </c>
      <c r="AI9" s="109">
        <v>16</v>
      </c>
      <c r="AJ9" s="81">
        <f t="shared" si="9"/>
        <v>2</v>
      </c>
      <c r="AL9" s="128">
        <v>398500</v>
      </c>
      <c r="AM9" s="48" t="str">
        <f t="shared" si="16"/>
        <v>Hafiz</v>
      </c>
      <c r="AO9" s="92"/>
      <c r="AP9" s="48">
        <f t="shared" si="11"/>
        <v>0</v>
      </c>
    </row>
    <row r="10" spans="1:42" s="81" customFormat="1" ht="26.1" customHeight="1" x14ac:dyDescent="0.25">
      <c r="A10" s="90"/>
      <c r="B10" s="2">
        <v>6</v>
      </c>
      <c r="C10" s="138" t="s">
        <v>27</v>
      </c>
      <c r="D10" s="107" t="s">
        <v>3</v>
      </c>
      <c r="E10" s="105"/>
      <c r="F10" s="105" t="s">
        <v>66</v>
      </c>
      <c r="G10" s="105">
        <v>4</v>
      </c>
      <c r="H10" s="105" t="s">
        <v>23</v>
      </c>
      <c r="I10" s="105"/>
      <c r="J10" s="106"/>
      <c r="K10" s="105" t="s">
        <v>23</v>
      </c>
      <c r="L10" s="109">
        <v>0</v>
      </c>
      <c r="M10" s="109">
        <v>208</v>
      </c>
      <c r="N10" s="109">
        <v>8</v>
      </c>
      <c r="O10" s="109"/>
      <c r="P10" s="117">
        <f t="shared" si="0"/>
        <v>216</v>
      </c>
      <c r="Q10" s="97">
        <f>((data!$A$3/8)*L10)+((data!$B$3/8)*(M10+N10+O10))+(P10*$E$25)</f>
        <v>918000</v>
      </c>
      <c r="R10" s="112">
        <f t="shared" si="1"/>
        <v>100000</v>
      </c>
      <c r="S10" s="97">
        <v>0</v>
      </c>
      <c r="T10" s="97">
        <f t="shared" si="14"/>
        <v>200000</v>
      </c>
      <c r="U10" s="97">
        <f t="shared" si="17"/>
        <v>54000</v>
      </c>
      <c r="V10" s="94">
        <f t="shared" si="15"/>
        <v>0</v>
      </c>
      <c r="W10" s="97"/>
      <c r="X10" s="97">
        <f>IF(K10="ok",50000+AB10,0+AB10)</f>
        <v>50000</v>
      </c>
      <c r="Y10" s="97">
        <v>12000</v>
      </c>
      <c r="Z10" s="97">
        <f t="shared" si="5"/>
        <v>1334000</v>
      </c>
      <c r="AE10" s="81">
        <f t="shared" si="6"/>
        <v>27</v>
      </c>
      <c r="AG10" s="81">
        <f t="shared" si="7"/>
        <v>27</v>
      </c>
      <c r="AH10" s="81">
        <f t="shared" si="8"/>
        <v>27</v>
      </c>
      <c r="AI10" s="28"/>
      <c r="AJ10" s="81">
        <f t="shared" si="9"/>
        <v>0</v>
      </c>
      <c r="AL10" s="127">
        <v>1281500</v>
      </c>
      <c r="AM10" s="81" t="str">
        <f t="shared" si="16"/>
        <v>Henbediona</v>
      </c>
      <c r="AO10" s="11"/>
      <c r="AP10" s="81">
        <f t="shared" si="11"/>
        <v>0</v>
      </c>
    </row>
    <row r="11" spans="1:42" s="81" customFormat="1" ht="26.1" customHeight="1" x14ac:dyDescent="0.25">
      <c r="A11" s="90"/>
      <c r="B11" s="2">
        <v>7</v>
      </c>
      <c r="C11" s="110" t="s">
        <v>29</v>
      </c>
      <c r="D11" s="104" t="s">
        <v>3</v>
      </c>
      <c r="E11" s="102"/>
      <c r="F11" s="103"/>
      <c r="G11" s="103">
        <v>3</v>
      </c>
      <c r="H11" s="103" t="s">
        <v>23</v>
      </c>
      <c r="I11" s="103" t="s">
        <v>53</v>
      </c>
      <c r="J11" s="102"/>
      <c r="K11" s="103"/>
      <c r="L11" s="108">
        <v>104</v>
      </c>
      <c r="M11" s="108">
        <v>28</v>
      </c>
      <c r="N11" s="108">
        <v>96</v>
      </c>
      <c r="O11" s="108"/>
      <c r="P11" s="117">
        <f t="shared" si="0"/>
        <v>228</v>
      </c>
      <c r="Q11" s="97">
        <f>((data!$A$3/8)*L11)+((data!$B$3/8)*(M11+N11+O11))+(P11*$E$25)</f>
        <v>982000</v>
      </c>
      <c r="R11" s="112">
        <f t="shared" si="1"/>
        <v>100000</v>
      </c>
      <c r="S11" s="97">
        <f t="shared" si="12"/>
        <v>28500</v>
      </c>
      <c r="T11" s="97">
        <f t="shared" si="14"/>
        <v>150000</v>
      </c>
      <c r="U11" s="97">
        <f t="shared" si="17"/>
        <v>85500</v>
      </c>
      <c r="V11" s="94">
        <f t="shared" si="15"/>
        <v>0</v>
      </c>
      <c r="W11" s="97">
        <v>52500</v>
      </c>
      <c r="X11" s="97">
        <f>IF(K11="ok",50000+AB11,0+AB11)</f>
        <v>0</v>
      </c>
      <c r="Y11" s="97">
        <v>46000</v>
      </c>
      <c r="Z11" s="97">
        <f t="shared" si="5"/>
        <v>1444500</v>
      </c>
      <c r="AE11" s="81">
        <f t="shared" si="6"/>
        <v>28.5</v>
      </c>
      <c r="AG11" s="81">
        <f t="shared" si="7"/>
        <v>28.5</v>
      </c>
      <c r="AH11" s="81">
        <f t="shared" si="8"/>
        <v>33.5</v>
      </c>
      <c r="AI11" s="108">
        <v>40</v>
      </c>
      <c r="AJ11" s="81">
        <f t="shared" si="9"/>
        <v>5</v>
      </c>
      <c r="AL11" s="127">
        <v>1120500</v>
      </c>
      <c r="AM11" s="81" t="str">
        <f t="shared" si="16"/>
        <v>Reza</v>
      </c>
      <c r="AO11" s="11"/>
      <c r="AP11" s="81">
        <f t="shared" si="11"/>
        <v>0</v>
      </c>
    </row>
    <row r="12" spans="1:42" s="123" customFormat="1" ht="26.1" customHeight="1" x14ac:dyDescent="0.25">
      <c r="A12" s="119"/>
      <c r="B12" s="120">
        <v>8</v>
      </c>
      <c r="C12" s="110" t="s">
        <v>31</v>
      </c>
      <c r="D12" s="104" t="s">
        <v>3</v>
      </c>
      <c r="E12" s="102"/>
      <c r="F12" s="103"/>
      <c r="G12" s="103">
        <v>2</v>
      </c>
      <c r="H12" s="103" t="s">
        <v>23</v>
      </c>
      <c r="I12" s="103" t="s">
        <v>53</v>
      </c>
      <c r="J12" s="102"/>
      <c r="K12" s="103" t="s">
        <v>23</v>
      </c>
      <c r="L12" s="108">
        <v>248</v>
      </c>
      <c r="M12" s="108">
        <v>5</v>
      </c>
      <c r="N12" s="108">
        <v>0</v>
      </c>
      <c r="O12" s="108"/>
      <c r="P12" s="117">
        <f t="shared" si="0"/>
        <v>253</v>
      </c>
      <c r="Q12" s="86">
        <f>((data!$A$3/8)*L12)+((data!$B$3/8)*(M12+N12+O12))+(P12*$E$25)</f>
        <v>1106250</v>
      </c>
      <c r="R12" s="112">
        <f t="shared" si="1"/>
        <v>100000</v>
      </c>
      <c r="S12" s="86">
        <f t="shared" si="12"/>
        <v>31625</v>
      </c>
      <c r="T12" s="86">
        <f t="shared" si="14"/>
        <v>100000</v>
      </c>
      <c r="U12" s="86">
        <f t="shared" si="17"/>
        <v>94875</v>
      </c>
      <c r="V12" s="122">
        <f t="shared" si="15"/>
        <v>0</v>
      </c>
      <c r="W12" s="122">
        <v>17500</v>
      </c>
      <c r="X12" s="86">
        <f>IF(K12="ok",50000+AB12,0+AB12)</f>
        <v>50000</v>
      </c>
      <c r="Y12" s="86">
        <v>4000</v>
      </c>
      <c r="Z12" s="86">
        <f t="shared" si="5"/>
        <v>1504500</v>
      </c>
      <c r="AE12" s="123">
        <f t="shared" si="6"/>
        <v>31.625</v>
      </c>
      <c r="AF12" s="81"/>
      <c r="AG12" s="123">
        <f t="shared" ref="AG12:AG16" si="18">AE12-AF12</f>
        <v>31.625</v>
      </c>
      <c r="AH12" s="81">
        <f t="shared" si="8"/>
        <v>31.625</v>
      </c>
      <c r="AI12" s="121"/>
      <c r="AJ12" s="81">
        <f t="shared" si="9"/>
        <v>0</v>
      </c>
      <c r="AL12" s="129">
        <v>1195000</v>
      </c>
      <c r="AM12" s="123" t="str">
        <f t="shared" si="16"/>
        <v>Rini</v>
      </c>
      <c r="AO12" s="124"/>
      <c r="AP12" s="123">
        <f t="shared" si="11"/>
        <v>0</v>
      </c>
    </row>
    <row r="13" spans="1:42" s="81" customFormat="1" ht="26.1" customHeight="1" x14ac:dyDescent="0.25">
      <c r="A13" s="90"/>
      <c r="B13" s="2">
        <v>9</v>
      </c>
      <c r="C13" s="110" t="s">
        <v>65</v>
      </c>
      <c r="D13" s="104" t="s">
        <v>3</v>
      </c>
      <c r="E13" s="102" t="s">
        <v>51</v>
      </c>
      <c r="F13" s="103"/>
      <c r="G13" s="103">
        <v>1</v>
      </c>
      <c r="H13" s="103"/>
      <c r="I13" s="103"/>
      <c r="J13" s="102"/>
      <c r="K13" s="103"/>
      <c r="L13" s="108">
        <v>41</v>
      </c>
      <c r="M13" s="108">
        <v>120</v>
      </c>
      <c r="N13" s="108">
        <v>51</v>
      </c>
      <c r="O13" s="108"/>
      <c r="P13" s="125">
        <f t="shared" si="0"/>
        <v>212</v>
      </c>
      <c r="Q13" s="97">
        <f>((data!$A$3/8)*L13)+((data!$B$3/8)*(M13+N13+O13))+(P13*$E$25)</f>
        <v>906125</v>
      </c>
      <c r="R13" s="112">
        <f t="shared" si="1"/>
        <v>0</v>
      </c>
      <c r="S13" s="97">
        <f t="shared" si="12"/>
        <v>26500</v>
      </c>
      <c r="T13" s="97">
        <f t="shared" si="14"/>
        <v>50000</v>
      </c>
      <c r="U13" s="97">
        <f t="shared" si="17"/>
        <v>53000</v>
      </c>
      <c r="V13" s="94">
        <f t="shared" si="15"/>
        <v>0</v>
      </c>
      <c r="W13" s="97">
        <v>35000</v>
      </c>
      <c r="X13" s="86">
        <f t="shared" ref="X13:X16" si="19">IF(K13="ok",50000+AB13,0+AB13)</f>
        <v>0</v>
      </c>
      <c r="Y13" s="97">
        <v>6000</v>
      </c>
      <c r="Z13" s="97">
        <f t="shared" si="5"/>
        <v>1077000</v>
      </c>
      <c r="AE13" s="81">
        <f t="shared" si="6"/>
        <v>26.5</v>
      </c>
      <c r="AG13" s="81">
        <f t="shared" si="18"/>
        <v>26.5</v>
      </c>
      <c r="AH13" s="81">
        <f t="shared" si="8"/>
        <v>26.5</v>
      </c>
      <c r="AI13" s="126"/>
      <c r="AJ13" s="81">
        <f t="shared" si="9"/>
        <v>0</v>
      </c>
      <c r="AL13" s="127">
        <v>969000</v>
      </c>
      <c r="AM13" s="81" t="str">
        <f t="shared" si="16"/>
        <v>Ronald</v>
      </c>
      <c r="AO13" s="11"/>
      <c r="AP13" s="81">
        <f t="shared" si="11"/>
        <v>0</v>
      </c>
    </row>
    <row r="14" spans="1:42" s="81" customFormat="1" ht="26.1" customHeight="1" x14ac:dyDescent="0.25">
      <c r="A14" s="90"/>
      <c r="B14" s="2">
        <v>10</v>
      </c>
      <c r="C14" s="110" t="s">
        <v>35</v>
      </c>
      <c r="D14" s="104" t="s">
        <v>3</v>
      </c>
      <c r="E14" s="103" t="s">
        <v>51</v>
      </c>
      <c r="F14" s="103" t="s">
        <v>66</v>
      </c>
      <c r="G14" s="103">
        <v>1</v>
      </c>
      <c r="H14" s="103"/>
      <c r="I14" s="103" t="s">
        <v>50</v>
      </c>
      <c r="J14" s="102"/>
      <c r="K14" s="103"/>
      <c r="L14" s="108">
        <v>8</v>
      </c>
      <c r="M14" s="108">
        <v>159</v>
      </c>
      <c r="N14" s="108">
        <v>18</v>
      </c>
      <c r="O14" s="108"/>
      <c r="P14" s="125">
        <f t="shared" si="0"/>
        <v>185</v>
      </c>
      <c r="Q14" s="97">
        <f>((data!$A$3/8)*L14)+((data!$B$3/8)*(M14+N14+O14))+(P14*$E$25)</f>
        <v>787250</v>
      </c>
      <c r="R14" s="112">
        <f t="shared" si="1"/>
        <v>0</v>
      </c>
      <c r="S14" s="140" t="s">
        <v>50</v>
      </c>
      <c r="T14" s="112">
        <f t="shared" si="14"/>
        <v>50000</v>
      </c>
      <c r="U14" s="97">
        <f t="shared" si="17"/>
        <v>0</v>
      </c>
      <c r="V14" s="94">
        <f t="shared" si="15"/>
        <v>0</v>
      </c>
      <c r="W14" s="97">
        <v>52500</v>
      </c>
      <c r="X14" s="86">
        <f t="shared" si="19"/>
        <v>0</v>
      </c>
      <c r="Y14" s="97">
        <v>1000</v>
      </c>
      <c r="Z14" s="97">
        <f t="shared" si="5"/>
        <v>891000</v>
      </c>
      <c r="AE14" s="81">
        <f t="shared" si="6"/>
        <v>23.125</v>
      </c>
      <c r="AG14" s="81">
        <f t="shared" si="18"/>
        <v>23.125</v>
      </c>
      <c r="AH14" s="81">
        <f t="shared" si="8"/>
        <v>23.125</v>
      </c>
      <c r="AI14" s="108"/>
      <c r="AJ14" s="81">
        <f t="shared" si="9"/>
        <v>0</v>
      </c>
      <c r="AL14" s="127">
        <v>756500</v>
      </c>
      <c r="AM14" s="81" t="str">
        <f t="shared" si="16"/>
        <v>Arif</v>
      </c>
      <c r="AO14" s="11"/>
      <c r="AP14" s="81">
        <f t="shared" si="11"/>
        <v>0</v>
      </c>
    </row>
    <row r="15" spans="1:42" s="81" customFormat="1" ht="26.1" customHeight="1" x14ac:dyDescent="0.25">
      <c r="A15" s="90"/>
      <c r="B15" s="2">
        <v>11</v>
      </c>
      <c r="C15" s="115" t="s">
        <v>72</v>
      </c>
      <c r="D15" s="104" t="s">
        <v>25</v>
      </c>
      <c r="E15" s="102" t="s">
        <v>52</v>
      </c>
      <c r="F15" s="103"/>
      <c r="G15" s="103"/>
      <c r="H15" s="103"/>
      <c r="I15" s="139" t="s">
        <v>50</v>
      </c>
      <c r="J15" s="102"/>
      <c r="K15" s="103"/>
      <c r="L15" s="108">
        <v>53</v>
      </c>
      <c r="M15" s="108">
        <v>19</v>
      </c>
      <c r="N15" s="108">
        <v>124</v>
      </c>
      <c r="O15" s="108"/>
      <c r="P15" s="125">
        <f t="shared" si="0"/>
        <v>196</v>
      </c>
      <c r="Q15" s="97">
        <f>((data!$A$3/8)*L15)+((data!$B$3/8)*(M15+N15+O15))+(P15*$E$25)</f>
        <v>839625</v>
      </c>
      <c r="R15" s="112">
        <f t="shared" si="1"/>
        <v>0</v>
      </c>
      <c r="S15" s="112">
        <f t="shared" si="12"/>
        <v>24500</v>
      </c>
      <c r="T15" s="97">
        <f t="shared" si="14"/>
        <v>0</v>
      </c>
      <c r="U15" s="112">
        <f>IF(I15="+",P15/8*3000,IF(I15="-",0,P15/8*2000))</f>
        <v>0</v>
      </c>
      <c r="V15" s="94">
        <f t="shared" si="15"/>
        <v>0</v>
      </c>
      <c r="W15" s="97"/>
      <c r="X15" s="86">
        <f t="shared" si="19"/>
        <v>0</v>
      </c>
      <c r="Y15" s="97">
        <v>4000</v>
      </c>
      <c r="Z15" s="97">
        <f t="shared" si="5"/>
        <v>868500</v>
      </c>
      <c r="AE15" s="81">
        <f t="shared" si="6"/>
        <v>24.5</v>
      </c>
      <c r="AG15" s="81">
        <f t="shared" si="18"/>
        <v>24.5</v>
      </c>
      <c r="AH15" s="81">
        <f t="shared" si="8"/>
        <v>24.5</v>
      </c>
      <c r="AJ15" s="81">
        <f t="shared" si="9"/>
        <v>0</v>
      </c>
      <c r="AL15" s="127">
        <v>862000</v>
      </c>
      <c r="AM15" s="81" t="str">
        <f t="shared" si="16"/>
        <v>Alfreda</v>
      </c>
      <c r="AO15" s="11"/>
      <c r="AP15" s="81">
        <f t="shared" si="11"/>
        <v>0</v>
      </c>
    </row>
    <row r="16" spans="1:42" s="81" customFormat="1" ht="26.1" customHeight="1" x14ac:dyDescent="0.25">
      <c r="A16" s="90"/>
      <c r="B16" s="2">
        <v>12</v>
      </c>
      <c r="C16" s="151" t="s">
        <v>50</v>
      </c>
      <c r="D16" s="104" t="s">
        <v>50</v>
      </c>
      <c r="E16" s="102"/>
      <c r="F16" s="114"/>
      <c r="G16" s="111"/>
      <c r="H16" s="111"/>
      <c r="I16" s="103"/>
      <c r="J16" s="114"/>
      <c r="K16" s="116"/>
      <c r="L16" s="108"/>
      <c r="M16" s="108"/>
      <c r="N16" s="108"/>
      <c r="O16" s="108"/>
      <c r="P16" s="125">
        <f t="shared" si="0"/>
        <v>0</v>
      </c>
      <c r="Q16" s="97">
        <f>((data!$A$3/8)*L16)+((data!$B$3/8)*(M16+N16+O16))+(P16*$E$25)</f>
        <v>0</v>
      </c>
      <c r="R16" s="112"/>
      <c r="S16" s="97">
        <f t="shared" si="12"/>
        <v>0</v>
      </c>
      <c r="T16" s="97">
        <f t="shared" si="14"/>
        <v>0</v>
      </c>
      <c r="U16" s="112">
        <f>IF(I16="+",P16/8*3000,IF(I16="-",0,P16/8*2000))</f>
        <v>0</v>
      </c>
      <c r="V16" s="94">
        <f t="shared" si="15"/>
        <v>0</v>
      </c>
      <c r="W16" s="97"/>
      <c r="X16" s="86">
        <f t="shared" si="19"/>
        <v>0</v>
      </c>
      <c r="Y16" s="97"/>
      <c r="Z16" s="97">
        <f t="shared" si="5"/>
        <v>0</v>
      </c>
      <c r="AE16" s="81">
        <f t="shared" si="6"/>
        <v>0</v>
      </c>
      <c r="AG16" s="81">
        <f t="shared" si="18"/>
        <v>0</v>
      </c>
      <c r="AH16" s="81">
        <f t="shared" si="8"/>
        <v>0</v>
      </c>
      <c r="AL16" s="127">
        <v>850000</v>
      </c>
      <c r="AM16" s="81" t="str">
        <f t="shared" si="10"/>
        <v>-</v>
      </c>
      <c r="AO16" s="11"/>
      <c r="AP16" s="81">
        <f t="shared" si="11"/>
        <v>0</v>
      </c>
    </row>
    <row r="17" spans="1:42" s="81" customFormat="1" ht="26.1" hidden="1" customHeight="1" x14ac:dyDescent="0.25">
      <c r="A17" s="90"/>
      <c r="B17" s="2">
        <v>13</v>
      </c>
      <c r="C17" s="98"/>
      <c r="D17" s="83"/>
      <c r="E17" s="82"/>
      <c r="F17" s="88"/>
      <c r="G17" s="88"/>
      <c r="H17" s="88"/>
      <c r="I17" s="49"/>
      <c r="J17" s="88"/>
      <c r="K17" s="88"/>
      <c r="L17" s="28"/>
      <c r="M17" s="89"/>
      <c r="N17" s="89"/>
      <c r="O17" s="89"/>
      <c r="P17" s="87">
        <f t="shared" si="0"/>
        <v>0</v>
      </c>
      <c r="Q17" s="97">
        <f>((data!$A$3/8)*L17)+((data!$B$3/8)*(M17+N17+O17))+(P17*$E$25)</f>
        <v>0</v>
      </c>
      <c r="R17" s="97">
        <f t="shared" ref="R17" si="20">IF(D17="Percobaan",0,IF(AND(E17="",G17&gt;0,H17="ok"),100000,IF(AND(E17="",G17&gt;0,H17=""),50000,IF(AND(E17=""),100000,0))))</f>
        <v>100000</v>
      </c>
      <c r="S17" s="97">
        <f t="shared" si="12"/>
        <v>0</v>
      </c>
      <c r="T17" s="97">
        <f t="shared" ref="T17" si="21">IF(AND(G17&gt;0,H17=""),50000,IF(AND(G17&gt;0,H17="ok"),G17*50000,0))</f>
        <v>0</v>
      </c>
      <c r="U17" s="97">
        <f t="shared" ref="U17" si="22">IF(OR(D17="Percobaan",D17=""),0,IF(I17="+",P17/8*3000,IF(I17="-",0,P17/8*2000)))</f>
        <v>0</v>
      </c>
      <c r="V17" s="94">
        <f t="shared" ref="V17" si="23">J17*-12500</f>
        <v>0</v>
      </c>
      <c r="W17" s="97"/>
      <c r="X17" s="97">
        <f>IF(K17="ok",50000+AB17,0+AB17)</f>
        <v>0</v>
      </c>
      <c r="Y17" s="97"/>
      <c r="Z17" s="97">
        <f t="shared" ref="Z17" si="24">CEILING(SUM(Q17:Y17),500)</f>
        <v>100000</v>
      </c>
      <c r="AE17" s="81">
        <f t="shared" ref="AE17" si="25">P17/8</f>
        <v>0</v>
      </c>
      <c r="AF17" s="81">
        <f t="shared" ref="AF17:AF18" si="26">AE17+AJ17</f>
        <v>0</v>
      </c>
      <c r="AG17" s="81">
        <f t="shared" ref="AG17" si="27">AE17-AF17</f>
        <v>0</v>
      </c>
      <c r="AL17" s="127">
        <v>0</v>
      </c>
      <c r="AM17" s="81">
        <f t="shared" si="10"/>
        <v>0</v>
      </c>
      <c r="AO17" s="11"/>
      <c r="AP17" s="81">
        <f t="shared" si="11"/>
        <v>0</v>
      </c>
    </row>
    <row r="18" spans="1:42" s="81" customFormat="1" ht="26.1" hidden="1" customHeight="1" x14ac:dyDescent="0.25">
      <c r="A18" s="90"/>
      <c r="B18" s="2">
        <v>14</v>
      </c>
      <c r="C18" s="32"/>
      <c r="D18" s="83"/>
      <c r="E18" s="2">
        <v>0</v>
      </c>
      <c r="F18" s="85"/>
      <c r="G18" s="85"/>
      <c r="H18" s="85"/>
      <c r="I18" s="49" t="s">
        <v>50</v>
      </c>
      <c r="J18" s="85"/>
      <c r="K18" s="85"/>
      <c r="L18" s="28"/>
      <c r="M18" s="28"/>
      <c r="N18" s="28"/>
      <c r="O18" s="28"/>
      <c r="P18" s="86">
        <f t="shared" si="0"/>
        <v>0</v>
      </c>
      <c r="Q18" s="97">
        <f>((data!$A$3/8)*L18)+((data!$B$3/8)*(M18+N18+O18))+(P18*$E$25)</f>
        <v>0</v>
      </c>
      <c r="R18" s="97">
        <f t="shared" ref="R18" si="28">IF(D18="Percobaan",0,IF(AND(E18="",G18&gt;0,H18="ok"),100000,IF(AND(E18="",G18&gt;0,H18=""),50000,IF(AND(E18=""),100000,0))))</f>
        <v>0</v>
      </c>
      <c r="S18" s="97">
        <v>0</v>
      </c>
      <c r="T18" s="97">
        <f t="shared" ref="T18" si="29">IF(AND(G18&gt;0,H18=""),50000,IF(AND(G18&gt;0,H18="ok"),G18*50000,0))</f>
        <v>0</v>
      </c>
      <c r="U18" s="97">
        <f t="shared" ref="U18" si="30">IF(OR(D18="Percobaan",D18=""),0,IF(I18="+",P18/8*3000,IF(I18="-",0,P18/8*2000)))</f>
        <v>0</v>
      </c>
      <c r="V18" s="94">
        <f t="shared" ref="V18" si="31">J18*-12500</f>
        <v>0</v>
      </c>
      <c r="W18" s="97"/>
      <c r="X18" s="97">
        <f>IF(K18="ok",50000+AB18,0+AB18)</f>
        <v>0</v>
      </c>
      <c r="Y18" s="97"/>
      <c r="Z18" s="97">
        <f t="shared" ref="Z18" si="32">CEILING(SUM(Q18:Y18),500)</f>
        <v>0</v>
      </c>
      <c r="AF18" s="81">
        <f t="shared" si="26"/>
        <v>0</v>
      </c>
      <c r="AL18" s="127">
        <v>0</v>
      </c>
      <c r="AM18" s="81">
        <f t="shared" si="10"/>
        <v>0</v>
      </c>
    </row>
    <row r="19" spans="1:42" ht="26.1" customHeight="1" x14ac:dyDescent="0.25">
      <c r="A19" s="1"/>
      <c r="B19" s="26"/>
      <c r="C19" s="33"/>
      <c r="D19" s="33"/>
      <c r="E19" s="26"/>
      <c r="F19" s="33"/>
      <c r="G19" s="27"/>
      <c r="H19" s="27"/>
      <c r="I19" s="27"/>
      <c r="J19" s="26">
        <f>SUM(J5:J17)</f>
        <v>0</v>
      </c>
      <c r="K19" s="27"/>
      <c r="L19" s="34">
        <f>SUM(L5:L17)</f>
        <v>744</v>
      </c>
      <c r="M19" s="34">
        <f>SUM(M5:M18)</f>
        <v>744</v>
      </c>
      <c r="N19" s="34">
        <f>SUM(N5:N18)</f>
        <v>744</v>
      </c>
      <c r="O19" s="34">
        <f t="shared" ref="O19:Z19" si="33">SUM(O5:O17)</f>
        <v>0</v>
      </c>
      <c r="P19" s="35">
        <f>SUM(P5:P18)</f>
        <v>2232</v>
      </c>
      <c r="Q19" s="35">
        <f t="shared" si="33"/>
        <v>9579000</v>
      </c>
      <c r="R19" s="35">
        <f t="shared" si="33"/>
        <v>400000</v>
      </c>
      <c r="S19" s="35">
        <f t="shared" si="33"/>
        <v>200500</v>
      </c>
      <c r="T19" s="35">
        <f t="shared" si="33"/>
        <v>550000</v>
      </c>
      <c r="U19" s="35">
        <f t="shared" si="33"/>
        <v>457250</v>
      </c>
      <c r="V19" s="95">
        <f t="shared" si="33"/>
        <v>0</v>
      </c>
      <c r="W19" s="35">
        <f t="shared" si="33"/>
        <v>315000</v>
      </c>
      <c r="X19" s="35">
        <f t="shared" si="33"/>
        <v>200000</v>
      </c>
      <c r="Y19" s="35">
        <f t="shared" si="33"/>
        <v>281500</v>
      </c>
      <c r="Z19" s="35">
        <f t="shared" si="33"/>
        <v>11985500</v>
      </c>
      <c r="AI19">
        <f>SUM(AI5:AI16)</f>
        <v>168</v>
      </c>
      <c r="AJ19" s="101">
        <f>SUM(AJ5:AJ16)</f>
        <v>21</v>
      </c>
      <c r="AL19" s="130">
        <f>SUM(AL5:AL18)</f>
        <v>10552500</v>
      </c>
    </row>
    <row r="20" spans="1:42" ht="26.1" customHeight="1" x14ac:dyDescent="0.25">
      <c r="A20" s="1"/>
      <c r="B20" s="3"/>
      <c r="C20" s="6"/>
      <c r="D20" s="6"/>
      <c r="E20" s="6"/>
      <c r="F20" s="6"/>
      <c r="G20" s="6"/>
      <c r="H20" s="6"/>
      <c r="I20" s="6"/>
      <c r="J20" s="6"/>
      <c r="K20" s="6"/>
      <c r="L20" s="145">
        <f>L19+M19+N19</f>
        <v>2232</v>
      </c>
      <c r="M20" s="146"/>
      <c r="N20" s="146"/>
      <c r="X20" s="149">
        <f ca="1">NOW()</f>
        <v>45666.632336574075</v>
      </c>
      <c r="Y20" s="149"/>
    </row>
    <row r="21" spans="1:42" ht="26.1" hidden="1" customHeight="1" x14ac:dyDescent="0.25">
      <c r="A21" s="1"/>
      <c r="B21" s="3"/>
      <c r="C21" s="6"/>
      <c r="D21" s="6"/>
      <c r="E21" s="6"/>
      <c r="F21" s="6"/>
      <c r="G21" s="6"/>
      <c r="H21" s="6"/>
      <c r="I21" s="6"/>
      <c r="J21" s="6"/>
      <c r="K21" s="6"/>
    </row>
    <row r="22" spans="1:42" ht="26.1" hidden="1" customHeight="1" x14ac:dyDescent="0.25">
      <c r="A22" s="1"/>
      <c r="B22" s="7"/>
      <c r="C22" s="7"/>
      <c r="D22" s="7"/>
      <c r="E22" s="8"/>
      <c r="F22" s="7"/>
      <c r="G22" s="9"/>
      <c r="H22" s="4"/>
      <c r="I22" s="5"/>
      <c r="J22" s="5"/>
      <c r="K22" s="3"/>
      <c r="L22" s="22">
        <f>SUM(L19:N19)</f>
        <v>2232</v>
      </c>
      <c r="M22" s="21"/>
    </row>
    <row r="23" spans="1:42" ht="26.1" hidden="1" customHeight="1" x14ac:dyDescent="0.25">
      <c r="A23" s="1"/>
      <c r="B23" s="10"/>
      <c r="C23" s="10"/>
      <c r="D23" s="10"/>
      <c r="E23" s="10"/>
      <c r="F23" s="10"/>
      <c r="G23" s="10"/>
      <c r="H23" s="11"/>
      <c r="I23" s="11"/>
      <c r="J23" s="11"/>
      <c r="K23" s="12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42" ht="26.1" hidden="1" customHeight="1" x14ac:dyDescent="0.25">
      <c r="A24" s="1"/>
      <c r="B24" s="14"/>
      <c r="C24" s="15"/>
      <c r="D24" s="10"/>
      <c r="E24" s="10"/>
      <c r="F24" s="10"/>
      <c r="G24" s="10"/>
      <c r="H24" s="10"/>
      <c r="I24" s="15"/>
      <c r="J24" s="10"/>
      <c r="K24" s="10"/>
      <c r="L24" s="10"/>
      <c r="M24" s="10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42" ht="26.1" customHeight="1" x14ac:dyDescent="0.25">
      <c r="A25" s="1"/>
      <c r="B25" s="40"/>
      <c r="C25" s="40" t="s">
        <v>33</v>
      </c>
      <c r="D25" s="40"/>
      <c r="E25" s="150">
        <f>IF(L20&gt;0,data!F3/L20)</f>
        <v>0</v>
      </c>
      <c r="F25" s="150"/>
      <c r="G25" s="10"/>
      <c r="H25" s="15"/>
      <c r="I25" s="15"/>
      <c r="J25" s="41" t="s">
        <v>70</v>
      </c>
      <c r="K25" s="41"/>
      <c r="L25" s="41"/>
      <c r="M25" s="41"/>
      <c r="N25" s="41"/>
      <c r="O25" s="41"/>
      <c r="P25" s="41"/>
      <c r="Y25" s="11"/>
      <c r="Z25" s="11"/>
    </row>
    <row r="26" spans="1:42" ht="26.1" hidden="1" customHeight="1" x14ac:dyDescent="0.25">
      <c r="A26" s="1"/>
      <c r="B26" s="39"/>
      <c r="C26" s="39"/>
      <c r="D26" s="39"/>
      <c r="E26" s="12"/>
      <c r="F26" s="12"/>
      <c r="G26" s="10"/>
      <c r="H26" s="15"/>
      <c r="I26" s="10"/>
      <c r="J26" s="10"/>
      <c r="K26" s="23"/>
      <c r="L26" s="23"/>
      <c r="M26" s="23"/>
      <c r="N26" s="23"/>
      <c r="O26" s="1"/>
      <c r="P26" s="1"/>
      <c r="Y26" s="11"/>
      <c r="Z26" s="11"/>
    </row>
    <row r="27" spans="1:42" ht="26.1" hidden="1" customHeight="1" x14ac:dyDescent="0.25">
      <c r="A27" s="1"/>
      <c r="B27" s="12"/>
      <c r="C27" s="12"/>
      <c r="D27" s="12"/>
      <c r="E27" s="12"/>
      <c r="F27" s="12"/>
      <c r="G27" s="10"/>
      <c r="H27" s="15"/>
      <c r="I27" s="10"/>
      <c r="J27" s="10"/>
      <c r="K27" s="1"/>
      <c r="L27" s="1"/>
      <c r="M27" s="1"/>
      <c r="N27" s="23"/>
      <c r="O27" s="1"/>
      <c r="P27" s="1"/>
      <c r="Y27" s="11"/>
      <c r="Z27" s="11"/>
    </row>
    <row r="28" spans="1:42" ht="26.1" customHeight="1" x14ac:dyDescent="0.25">
      <c r="A28" s="1"/>
      <c r="B28" s="144" t="s">
        <v>48</v>
      </c>
      <c r="C28" s="144"/>
      <c r="D28" s="144"/>
      <c r="E28" s="144"/>
      <c r="F28" s="46">
        <v>3</v>
      </c>
      <c r="G28" s="10"/>
      <c r="H28" s="15"/>
      <c r="I28" s="10"/>
      <c r="J28" s="147"/>
      <c r="K28" s="147"/>
      <c r="L28" s="147"/>
      <c r="M28" s="147"/>
      <c r="N28" s="147"/>
      <c r="O28" s="147"/>
      <c r="P28" s="147"/>
      <c r="Y28" s="152">
        <f>1.5*data!A3</f>
        <v>52500</v>
      </c>
      <c r="Z28" s="153">
        <f>Y28/8</f>
        <v>6562.5</v>
      </c>
    </row>
    <row r="29" spans="1:42" ht="26.1" customHeight="1" x14ac:dyDescent="0.25">
      <c r="A29" s="1"/>
      <c r="B29" s="144" t="s">
        <v>34</v>
      </c>
      <c r="C29" s="144"/>
      <c r="D29" s="144"/>
      <c r="E29" s="144"/>
      <c r="F29" s="37">
        <f>31*24*F28</f>
        <v>2232</v>
      </c>
      <c r="G29" s="16"/>
      <c r="H29" s="37"/>
      <c r="I29" s="16"/>
      <c r="J29" s="147"/>
      <c r="K29" s="147"/>
      <c r="L29" s="147"/>
      <c r="M29" s="147"/>
      <c r="N29" s="147"/>
      <c r="O29" s="147"/>
      <c r="P29" s="147"/>
      <c r="Y29" s="154">
        <f>Y28-data!A3</f>
        <v>17500</v>
      </c>
      <c r="Z29" s="153">
        <f>Y29/8</f>
        <v>2187.5</v>
      </c>
    </row>
    <row r="30" spans="1:42" ht="26.1" customHeight="1" x14ac:dyDescent="0.25">
      <c r="A30" s="1"/>
      <c r="B30" s="144" t="s">
        <v>39</v>
      </c>
      <c r="C30" s="144"/>
      <c r="D30" s="144"/>
      <c r="E30" s="144"/>
      <c r="F30" s="37">
        <v>0</v>
      </c>
      <c r="G30" s="16"/>
      <c r="H30" s="16"/>
      <c r="I30" s="16"/>
      <c r="J30" s="16"/>
      <c r="K30" s="1"/>
      <c r="L30" s="43"/>
      <c r="M30" s="1"/>
      <c r="N30" s="23"/>
      <c r="O30" s="1"/>
      <c r="P30" s="100"/>
      <c r="Y30" s="11"/>
      <c r="Z30" s="11"/>
    </row>
    <row r="31" spans="1:42" ht="26.1" customHeight="1" x14ac:dyDescent="0.25">
      <c r="A31" s="1"/>
      <c r="B31" s="144" t="s">
        <v>40</v>
      </c>
      <c r="C31" s="144"/>
      <c r="D31" s="144"/>
      <c r="E31" s="144"/>
      <c r="F31" s="36">
        <f>F29-F30</f>
        <v>2232</v>
      </c>
      <c r="G31" s="17"/>
      <c r="H31" s="17"/>
      <c r="I31" s="17"/>
      <c r="J31" s="17"/>
      <c r="Y31" s="11"/>
      <c r="Z31" s="11"/>
    </row>
    <row r="32" spans="1:42" ht="26.1" customHeight="1" x14ac:dyDescent="0.25">
      <c r="A32" s="1"/>
      <c r="B32" s="143" t="s">
        <v>41</v>
      </c>
      <c r="C32" s="143"/>
      <c r="D32" s="143"/>
      <c r="E32" s="143"/>
      <c r="F32" s="38">
        <f>P19</f>
        <v>2232</v>
      </c>
      <c r="G32" s="18"/>
      <c r="H32" s="18"/>
      <c r="I32" s="18"/>
      <c r="J32" s="18"/>
      <c r="Y32" s="19"/>
      <c r="Z32" s="19"/>
    </row>
    <row r="33" spans="1:26" ht="26.1" customHeight="1" x14ac:dyDescent="0.25">
      <c r="A33" s="1"/>
      <c r="B33" s="143" t="s">
        <v>73</v>
      </c>
      <c r="C33" s="143"/>
      <c r="D33" s="143"/>
      <c r="E33" s="143"/>
      <c r="F33" s="79">
        <f>-(F31-F32)</f>
        <v>0</v>
      </c>
      <c r="G33" s="20"/>
      <c r="H33" s="20"/>
      <c r="I33" s="20"/>
      <c r="J33" s="18"/>
      <c r="Y33" s="3"/>
      <c r="Z33" s="5"/>
    </row>
    <row r="34" spans="1:26" ht="26.1" customHeight="1" x14ac:dyDescent="0.25">
      <c r="Z34" s="80"/>
    </row>
    <row r="35" spans="1:26" ht="26.1" customHeight="1" x14ac:dyDescent="0.25">
      <c r="C35" s="42" t="s">
        <v>86</v>
      </c>
    </row>
    <row r="36" spans="1:26" ht="26.1" customHeight="1" x14ac:dyDescent="0.25">
      <c r="C36" s="168">
        <v>24</v>
      </c>
      <c r="D36" s="167" t="s">
        <v>84</v>
      </c>
      <c r="E36" s="167"/>
      <c r="F36" s="168">
        <v>25</v>
      </c>
      <c r="G36" s="167" t="s">
        <v>84</v>
      </c>
      <c r="H36" s="169"/>
      <c r="I36" s="169" t="s">
        <v>85</v>
      </c>
    </row>
    <row r="37" spans="1:26" ht="26.1" customHeight="1" x14ac:dyDescent="0.25">
      <c r="C37" s="155" t="s">
        <v>74</v>
      </c>
      <c r="D37" s="111">
        <v>8</v>
      </c>
      <c r="E37" s="156">
        <f>D37*$Z$29</f>
        <v>17500</v>
      </c>
      <c r="F37" s="111"/>
      <c r="G37" s="111"/>
      <c r="H37" s="111"/>
      <c r="I37" s="157">
        <f>SUMPRODUCT(($C$37:$C$45=C37)*$E$37:$E$45)+SUMPRODUCT(($F$37:$F$45=C37)*$H$37:$H$45)</f>
        <v>17500</v>
      </c>
    </row>
    <row r="38" spans="1:26" ht="26.1" customHeight="1" x14ac:dyDescent="0.25">
      <c r="C38" s="155" t="s">
        <v>75</v>
      </c>
      <c r="D38" s="111">
        <v>8</v>
      </c>
      <c r="E38" s="156">
        <f t="shared" ref="E38:E44" si="34">D38*$Z$29</f>
        <v>17500</v>
      </c>
      <c r="F38" s="158" t="s">
        <v>75</v>
      </c>
      <c r="G38" s="159">
        <v>8</v>
      </c>
      <c r="H38" s="156">
        <f>G38*$Z$29</f>
        <v>17500</v>
      </c>
      <c r="I38" s="157">
        <f>SUMPRODUCT(($C$37:$C$45=C38)*$E$37:$E$45)+SUMPRODUCT(($F$37:$F$45=C38)*$H$37:$H$45)</f>
        <v>35000</v>
      </c>
    </row>
    <row r="39" spans="1:26" ht="26.1" customHeight="1" x14ac:dyDescent="0.25">
      <c r="C39" s="155" t="s">
        <v>76</v>
      </c>
      <c r="D39" s="111">
        <v>8</v>
      </c>
      <c r="E39" s="156">
        <f t="shared" si="34"/>
        <v>17500</v>
      </c>
      <c r="F39" s="155" t="s">
        <v>76</v>
      </c>
      <c r="G39" s="159">
        <v>8</v>
      </c>
      <c r="H39" s="156">
        <f>G39*$Z$29</f>
        <v>17500</v>
      </c>
      <c r="I39" s="157">
        <f>SUMPRODUCT(($C$37:$C$45=C39)*$E$37:$E$45)+SUMPRODUCT(($F$37:$F$45=C39)*$H$37:$H$45)</f>
        <v>35000</v>
      </c>
    </row>
    <row r="40" spans="1:26" ht="26.1" customHeight="1" x14ac:dyDescent="0.25">
      <c r="C40" s="155" t="s">
        <v>77</v>
      </c>
      <c r="D40" s="111">
        <v>8</v>
      </c>
      <c r="E40" s="156">
        <f t="shared" si="34"/>
        <v>17500</v>
      </c>
      <c r="F40" s="155" t="s">
        <v>77</v>
      </c>
      <c r="G40" s="159">
        <v>12</v>
      </c>
      <c r="H40" s="156">
        <f>G40*$Z$29</f>
        <v>26250</v>
      </c>
      <c r="I40" s="157">
        <f>SUMPRODUCT(($C$37:$C$45=C40)*$E$37:$E$45)+SUMPRODUCT(($F$37:$F$45=C40)*$H$37:$H$45)</f>
        <v>43750</v>
      </c>
    </row>
    <row r="41" spans="1:26" ht="26.1" customHeight="1" x14ac:dyDescent="0.25">
      <c r="C41" s="155" t="s">
        <v>78</v>
      </c>
      <c r="D41" s="111">
        <v>8</v>
      </c>
      <c r="E41" s="156">
        <f t="shared" si="34"/>
        <v>17500</v>
      </c>
      <c r="F41" s="111"/>
      <c r="G41" s="111"/>
      <c r="H41" s="111"/>
      <c r="I41" s="157">
        <f>SUMPRODUCT(($C$37:$C$45=C41)*$E$37:$E$45)+SUMPRODUCT(($F$37:$F$45=C41)*$H$37:$H$45)</f>
        <v>17500</v>
      </c>
    </row>
    <row r="42" spans="1:26" ht="26.1" customHeight="1" x14ac:dyDescent="0.25">
      <c r="C42" s="160" t="s">
        <v>79</v>
      </c>
      <c r="D42" s="111">
        <v>8</v>
      </c>
      <c r="E42" s="156">
        <f t="shared" si="34"/>
        <v>17500</v>
      </c>
      <c r="F42" s="161" t="s">
        <v>79</v>
      </c>
      <c r="G42" s="162">
        <v>12</v>
      </c>
      <c r="H42" s="156">
        <f>G42*$Z$29</f>
        <v>26250</v>
      </c>
      <c r="I42" s="157">
        <f>SUMPRODUCT(($C$37:$C$45=C42)*$E$37:$E$45)+SUMPRODUCT(($F$37:$F$45=C42)*$H$37:$H$45)</f>
        <v>43750</v>
      </c>
    </row>
    <row r="43" spans="1:26" ht="26.1" customHeight="1" x14ac:dyDescent="0.25">
      <c r="C43" s="163" t="s">
        <v>80</v>
      </c>
      <c r="D43" s="111">
        <v>12</v>
      </c>
      <c r="E43" s="156">
        <f t="shared" si="34"/>
        <v>26250</v>
      </c>
      <c r="F43" s="158" t="s">
        <v>80</v>
      </c>
      <c r="G43" s="159">
        <v>12</v>
      </c>
      <c r="H43" s="156">
        <f>G43*$Z$29</f>
        <v>26250</v>
      </c>
      <c r="I43" s="157">
        <f>SUMPRODUCT(($C$37:$C$45=C43)*$E$37:$E$45)+SUMPRODUCT(($F$37:$F$45=C43)*$H$37:$H$45)</f>
        <v>52500</v>
      </c>
    </row>
    <row r="44" spans="1:26" ht="26.1" customHeight="1" x14ac:dyDescent="0.25">
      <c r="C44" s="155" t="s">
        <v>81</v>
      </c>
      <c r="D44" s="111">
        <v>12</v>
      </c>
      <c r="E44" s="156">
        <f t="shared" si="34"/>
        <v>26250</v>
      </c>
      <c r="F44" s="158" t="s">
        <v>81</v>
      </c>
      <c r="G44" s="164">
        <v>12</v>
      </c>
      <c r="H44" s="156">
        <f>G44*$Z$29</f>
        <v>26250</v>
      </c>
      <c r="I44" s="157">
        <f>SUMPRODUCT(($C$37:$C$45=C44)*$E$37:$E$45)+SUMPRODUCT(($F$37:$F$45=C44)*$H$37:$H$45)</f>
        <v>52500</v>
      </c>
    </row>
    <row r="45" spans="1:26" ht="26.1" customHeight="1" x14ac:dyDescent="0.25">
      <c r="C45" s="155" t="s">
        <v>82</v>
      </c>
      <c r="D45" s="111"/>
      <c r="E45" s="111"/>
      <c r="F45" s="158" t="s">
        <v>82</v>
      </c>
      <c r="G45" s="165">
        <v>8</v>
      </c>
      <c r="H45" s="156">
        <f>G45*$Z$29</f>
        <v>17500</v>
      </c>
      <c r="I45" s="157">
        <f>SUMPRODUCT(($C$37:$C$45=C45)*$E$37:$E$45)+SUMPRODUCT(($F$37:$F$45=C45)*$H$37:$H$45)</f>
        <v>17500</v>
      </c>
    </row>
    <row r="46" spans="1:26" ht="26.1" customHeight="1" x14ac:dyDescent="0.25">
      <c r="C46" s="166"/>
      <c r="D46" s="166"/>
      <c r="E46" s="166"/>
      <c r="F46" s="166"/>
      <c r="G46" s="166"/>
      <c r="H46" s="166"/>
      <c r="I46" s="170">
        <f>SUM(I37:I45)</f>
        <v>315000</v>
      </c>
    </row>
    <row r="47" spans="1:26" ht="26.1" customHeight="1" x14ac:dyDescent="0.25"/>
  </sheetData>
  <sortState xmlns:xlrd2="http://schemas.microsoft.com/office/spreadsheetml/2017/richdata2" ref="C5:AK16">
    <sortCondition ref="C5"/>
  </sortState>
  <mergeCells count="12">
    <mergeCell ref="B3:D3"/>
    <mergeCell ref="B28:E28"/>
    <mergeCell ref="X20:Y20"/>
    <mergeCell ref="E25:F25"/>
    <mergeCell ref="B30:E30"/>
    <mergeCell ref="AI4:AJ4"/>
    <mergeCell ref="B33:E33"/>
    <mergeCell ref="B32:E32"/>
    <mergeCell ref="B29:E29"/>
    <mergeCell ref="B31:E31"/>
    <mergeCell ref="L20:N20"/>
    <mergeCell ref="J28:P29"/>
  </mergeCells>
  <conditionalFormatting sqref="AE5:AE18">
    <cfRule type="cellIs" dxfId="1" priority="1" operator="greaterThan">
      <formula>26</formula>
    </cfRule>
    <cfRule type="cellIs" dxfId="0" priority="2" operator="lessThan">
      <formula>24</formula>
    </cfRule>
  </conditionalFormatting>
  <pageMargins left="0.25" right="0.25" top="0.75" bottom="0.75" header="0.3" footer="0.3"/>
  <pageSetup paperSize="512"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C890A-0861-4AEC-AB37-92C7AD684911}">
  <dimension ref="B4:AA37"/>
  <sheetViews>
    <sheetView workbookViewId="0">
      <selection activeCell="C24" sqref="C24:Y37"/>
    </sheetView>
  </sheetViews>
  <sheetFormatPr defaultRowHeight="15" x14ac:dyDescent="0.25"/>
  <cols>
    <col min="2" max="2" width="4.85546875" customWidth="1"/>
    <col min="3" max="3" width="10.42578125" customWidth="1"/>
    <col min="7" max="7" width="9.28515625" bestFit="1" customWidth="1"/>
    <col min="12" max="12" width="9.28515625" bestFit="1" customWidth="1"/>
    <col min="13" max="13" width="10.5703125" bestFit="1" customWidth="1"/>
    <col min="14" max="14" width="9.28515625" bestFit="1" customWidth="1"/>
    <col min="15" max="15" width="10.5703125" bestFit="1" customWidth="1"/>
    <col min="16" max="16" width="9.28515625" bestFit="1" customWidth="1"/>
    <col min="17" max="17" width="10.5703125" bestFit="1" customWidth="1"/>
    <col min="18" max="19" width="9.28515625" bestFit="1" customWidth="1"/>
    <col min="20" max="20" width="13" bestFit="1" customWidth="1"/>
    <col min="21" max="22" width="13" customWidth="1"/>
    <col min="23" max="23" width="11.140625" bestFit="1" customWidth="1"/>
    <col min="24" max="26" width="11" bestFit="1" customWidth="1"/>
    <col min="27" max="27" width="9.28515625" bestFit="1" customWidth="1"/>
    <col min="28" max="28" width="11" bestFit="1" customWidth="1"/>
    <col min="29" max="29" width="12.85546875" bestFit="1" customWidth="1"/>
    <col min="30" max="30" width="14.28515625" bestFit="1" customWidth="1"/>
  </cols>
  <sheetData>
    <row r="4" spans="2:27" ht="33.75" x14ac:dyDescent="0.25">
      <c r="B4" s="51" t="s">
        <v>1</v>
      </c>
      <c r="C4" s="51" t="s">
        <v>2</v>
      </c>
      <c r="D4" s="52" t="s">
        <v>3</v>
      </c>
      <c r="E4" s="51" t="s">
        <v>4</v>
      </c>
      <c r="F4" s="51" t="s">
        <v>5</v>
      </c>
      <c r="G4" s="51" t="s">
        <v>6</v>
      </c>
      <c r="H4" s="51" t="s">
        <v>7</v>
      </c>
      <c r="I4" s="51" t="s">
        <v>8</v>
      </c>
      <c r="J4" s="51" t="s">
        <v>9</v>
      </c>
      <c r="K4" s="51" t="s">
        <v>10</v>
      </c>
      <c r="L4" s="51" t="s">
        <v>11</v>
      </c>
      <c r="M4" s="51" t="s">
        <v>12</v>
      </c>
      <c r="N4" s="51" t="s">
        <v>13</v>
      </c>
      <c r="O4" s="51" t="s">
        <v>14</v>
      </c>
      <c r="P4" s="51" t="s">
        <v>15</v>
      </c>
      <c r="Q4" s="51" t="s">
        <v>16</v>
      </c>
      <c r="R4" s="51" t="s">
        <v>55</v>
      </c>
      <c r="S4" s="51" t="s">
        <v>56</v>
      </c>
      <c r="T4" s="51" t="s">
        <v>4</v>
      </c>
      <c r="U4" s="51" t="s">
        <v>5</v>
      </c>
      <c r="V4" s="51" t="s">
        <v>6</v>
      </c>
      <c r="W4" s="51" t="s">
        <v>17</v>
      </c>
      <c r="X4" s="51" t="s">
        <v>18</v>
      </c>
      <c r="Y4" s="51" t="s">
        <v>19</v>
      </c>
      <c r="Z4" s="51" t="s">
        <v>20</v>
      </c>
      <c r="AA4" s="51" t="s">
        <v>21</v>
      </c>
    </row>
    <row r="5" spans="2:27" x14ac:dyDescent="0.25">
      <c r="B5" s="53">
        <v>1</v>
      </c>
      <c r="C5" s="54" t="s">
        <v>22</v>
      </c>
      <c r="D5" s="55" t="s">
        <v>3</v>
      </c>
      <c r="E5" s="53" t="s">
        <v>51</v>
      </c>
      <c r="F5" s="56"/>
      <c r="G5" s="53">
        <v>1</v>
      </c>
      <c r="H5" s="53"/>
      <c r="I5" s="57" t="s">
        <v>50</v>
      </c>
      <c r="J5" s="53"/>
      <c r="K5" s="53"/>
      <c r="L5" s="58">
        <v>32</v>
      </c>
      <c r="M5" s="58">
        <v>10</v>
      </c>
      <c r="N5" s="58">
        <v>152</v>
      </c>
      <c r="O5" s="58">
        <v>0</v>
      </c>
      <c r="P5" s="58">
        <v>194</v>
      </c>
      <c r="Q5" s="58">
        <v>766267.02508960571</v>
      </c>
      <c r="R5" s="58">
        <f>Q5/P5</f>
        <v>3949.8300262350808</v>
      </c>
      <c r="S5" s="58">
        <f>R5*8</f>
        <v>31598.640209880647</v>
      </c>
      <c r="T5" s="58">
        <v>0</v>
      </c>
      <c r="U5" s="58">
        <v>24250</v>
      </c>
      <c r="V5" s="58">
        <v>50000</v>
      </c>
      <c r="W5" s="58">
        <v>0</v>
      </c>
      <c r="X5" s="58">
        <v>0</v>
      </c>
      <c r="Y5" s="58">
        <v>0</v>
      </c>
      <c r="Z5" s="58">
        <v>2000</v>
      </c>
      <c r="AA5" s="58">
        <v>843000</v>
      </c>
    </row>
    <row r="6" spans="2:27" x14ac:dyDescent="0.25">
      <c r="B6" s="59">
        <v>2</v>
      </c>
      <c r="C6" s="60" t="s">
        <v>49</v>
      </c>
      <c r="D6" s="61" t="s">
        <v>25</v>
      </c>
      <c r="E6" s="62" t="s">
        <v>52</v>
      </c>
      <c r="F6" s="61"/>
      <c r="G6" s="62"/>
      <c r="H6" s="62"/>
      <c r="I6" s="62" t="s">
        <v>50</v>
      </c>
      <c r="J6" s="59"/>
      <c r="K6" s="62"/>
      <c r="L6" s="63">
        <v>16</v>
      </c>
      <c r="M6" s="63">
        <v>59</v>
      </c>
      <c r="N6" s="63">
        <v>40</v>
      </c>
      <c r="O6" s="64">
        <v>0</v>
      </c>
      <c r="P6" s="63">
        <v>115</v>
      </c>
      <c r="Q6" s="58">
        <v>453859.31899641576</v>
      </c>
      <c r="R6" s="58">
        <f t="shared" ref="R6:R17" si="0">Q6/P6</f>
        <v>3946.6027738818761</v>
      </c>
      <c r="S6" s="58">
        <f t="shared" ref="S6:S17" si="1">R6*8</f>
        <v>31572.822191055009</v>
      </c>
      <c r="T6" s="63">
        <v>0</v>
      </c>
      <c r="U6" s="58">
        <v>14375</v>
      </c>
      <c r="V6" s="63">
        <v>0</v>
      </c>
      <c r="W6" s="63">
        <v>0</v>
      </c>
      <c r="X6" s="63">
        <v>0</v>
      </c>
      <c r="Y6" s="63">
        <v>90000</v>
      </c>
      <c r="Z6" s="63">
        <v>0</v>
      </c>
      <c r="AA6" s="63">
        <v>558500</v>
      </c>
    </row>
    <row r="7" spans="2:27" x14ac:dyDescent="0.25">
      <c r="B7" s="53">
        <v>3</v>
      </c>
      <c r="C7" s="56" t="s">
        <v>24</v>
      </c>
      <c r="D7" s="55" t="s">
        <v>3</v>
      </c>
      <c r="E7" s="57"/>
      <c r="F7" s="55"/>
      <c r="G7" s="57">
        <v>2</v>
      </c>
      <c r="H7" s="57" t="s">
        <v>23</v>
      </c>
      <c r="I7" s="65" t="s">
        <v>53</v>
      </c>
      <c r="J7" s="53"/>
      <c r="K7" s="57" t="s">
        <v>23</v>
      </c>
      <c r="L7" s="66">
        <v>202</v>
      </c>
      <c r="M7" s="66">
        <v>6</v>
      </c>
      <c r="N7" s="66">
        <v>8</v>
      </c>
      <c r="O7" s="66">
        <v>0</v>
      </c>
      <c r="P7" s="58">
        <v>216</v>
      </c>
      <c r="Q7" s="58">
        <v>873959.67741935479</v>
      </c>
      <c r="R7" s="58">
        <f t="shared" si="0"/>
        <v>4046.1096176821979</v>
      </c>
      <c r="S7" s="58">
        <f t="shared" si="1"/>
        <v>32368.876941457584</v>
      </c>
      <c r="T7" s="58">
        <v>100000</v>
      </c>
      <c r="U7" s="58">
        <v>27000</v>
      </c>
      <c r="V7" s="58">
        <v>100000</v>
      </c>
      <c r="W7" s="58">
        <v>81000</v>
      </c>
      <c r="X7" s="58">
        <v>0</v>
      </c>
      <c r="Y7" s="58">
        <v>50000</v>
      </c>
      <c r="Z7" s="58">
        <v>1500</v>
      </c>
      <c r="AA7" s="58">
        <v>1233500</v>
      </c>
    </row>
    <row r="8" spans="2:27" x14ac:dyDescent="0.25">
      <c r="B8" s="53">
        <v>4</v>
      </c>
      <c r="C8" s="55" t="s">
        <v>54</v>
      </c>
      <c r="D8" s="55" t="s">
        <v>25</v>
      </c>
      <c r="E8" s="53" t="s">
        <v>51</v>
      </c>
      <c r="F8" s="55"/>
      <c r="G8" s="57"/>
      <c r="H8" s="57"/>
      <c r="I8" s="57"/>
      <c r="J8" s="53"/>
      <c r="K8" s="57"/>
      <c r="L8" s="66">
        <v>0</v>
      </c>
      <c r="M8" s="66">
        <v>136</v>
      </c>
      <c r="N8" s="66">
        <v>72</v>
      </c>
      <c r="O8" s="66">
        <v>0</v>
      </c>
      <c r="P8" s="58">
        <v>208</v>
      </c>
      <c r="Q8" s="58">
        <v>817275.98566308245</v>
      </c>
      <c r="R8" s="58">
        <f t="shared" si="0"/>
        <v>3929.2114695340501</v>
      </c>
      <c r="S8" s="58">
        <f t="shared" si="1"/>
        <v>31433.691756272401</v>
      </c>
      <c r="T8" s="58">
        <v>0</v>
      </c>
      <c r="U8" s="58">
        <v>26000</v>
      </c>
      <c r="V8" s="58">
        <v>0</v>
      </c>
      <c r="W8" s="58">
        <v>0</v>
      </c>
      <c r="X8" s="58">
        <v>0</v>
      </c>
      <c r="Y8" s="58">
        <v>0</v>
      </c>
      <c r="Z8" s="58">
        <v>0</v>
      </c>
      <c r="AA8" s="58">
        <v>843500</v>
      </c>
    </row>
    <row r="9" spans="2:27" x14ac:dyDescent="0.25">
      <c r="B9" s="67">
        <v>5</v>
      </c>
      <c r="C9" s="68" t="s">
        <v>26</v>
      </c>
      <c r="D9" s="68" t="s">
        <v>3</v>
      </c>
      <c r="E9" s="67"/>
      <c r="F9" s="68"/>
      <c r="G9" s="69">
        <v>1</v>
      </c>
      <c r="H9" s="69" t="s">
        <v>23</v>
      </c>
      <c r="I9" s="69" t="s">
        <v>53</v>
      </c>
      <c r="J9" s="67"/>
      <c r="K9" s="69" t="s">
        <v>23</v>
      </c>
      <c r="L9" s="70">
        <v>4</v>
      </c>
      <c r="M9" s="70">
        <v>0</v>
      </c>
      <c r="N9" s="70">
        <v>109</v>
      </c>
      <c r="O9" s="70">
        <v>0</v>
      </c>
      <c r="P9" s="71">
        <v>113</v>
      </c>
      <c r="Q9" s="58">
        <v>444500.89605734765</v>
      </c>
      <c r="R9" s="58">
        <f t="shared" si="0"/>
        <v>3933.6362482951117</v>
      </c>
      <c r="S9" s="58">
        <f t="shared" si="1"/>
        <v>31469.089986360894</v>
      </c>
      <c r="T9" s="71">
        <v>100000</v>
      </c>
      <c r="U9" s="58">
        <v>14125</v>
      </c>
      <c r="V9" s="71">
        <v>50000</v>
      </c>
      <c r="W9" s="71">
        <v>42375</v>
      </c>
      <c r="X9" s="71">
        <v>0</v>
      </c>
      <c r="Y9" s="71">
        <v>50000</v>
      </c>
      <c r="Z9" s="71">
        <v>841000</v>
      </c>
      <c r="AA9" s="71">
        <v>1542500</v>
      </c>
    </row>
    <row r="10" spans="2:27" x14ac:dyDescent="0.25">
      <c r="B10" s="67">
        <v>6</v>
      </c>
      <c r="C10" s="72" t="s">
        <v>27</v>
      </c>
      <c r="D10" s="68" t="s">
        <v>3</v>
      </c>
      <c r="E10" s="69"/>
      <c r="F10" s="68"/>
      <c r="G10" s="69">
        <v>4</v>
      </c>
      <c r="H10" s="69" t="s">
        <v>23</v>
      </c>
      <c r="I10" s="69" t="s">
        <v>53</v>
      </c>
      <c r="J10" s="67"/>
      <c r="K10" s="69" t="s">
        <v>23</v>
      </c>
      <c r="L10" s="70">
        <v>0</v>
      </c>
      <c r="M10" s="70">
        <v>84</v>
      </c>
      <c r="N10" s="70">
        <v>2</v>
      </c>
      <c r="O10" s="70">
        <v>0</v>
      </c>
      <c r="P10" s="71">
        <v>86</v>
      </c>
      <c r="Q10" s="58">
        <v>337912.18637992832</v>
      </c>
      <c r="R10" s="58">
        <f t="shared" si="0"/>
        <v>3929.2114695340501</v>
      </c>
      <c r="S10" s="58">
        <f t="shared" si="1"/>
        <v>31433.691756272401</v>
      </c>
      <c r="T10" s="71">
        <v>50000</v>
      </c>
      <c r="U10" s="58">
        <v>10750</v>
      </c>
      <c r="V10" s="71">
        <v>200000</v>
      </c>
      <c r="W10" s="71">
        <v>32250</v>
      </c>
      <c r="X10" s="71">
        <v>0</v>
      </c>
      <c r="Y10" s="71">
        <v>50000</v>
      </c>
      <c r="Z10" s="71">
        <v>847000</v>
      </c>
      <c r="AA10" s="71">
        <v>1528000</v>
      </c>
    </row>
    <row r="11" spans="2:27" x14ac:dyDescent="0.25">
      <c r="B11" s="67">
        <v>7</v>
      </c>
      <c r="C11" s="72" t="s">
        <v>28</v>
      </c>
      <c r="D11" s="68" t="s">
        <v>3</v>
      </c>
      <c r="E11" s="67" t="s">
        <v>52</v>
      </c>
      <c r="F11" s="69"/>
      <c r="G11" s="69">
        <v>1</v>
      </c>
      <c r="H11" s="69"/>
      <c r="I11" s="69" t="s">
        <v>50</v>
      </c>
      <c r="J11" s="67"/>
      <c r="K11" s="69"/>
      <c r="L11" s="70">
        <v>0</v>
      </c>
      <c r="M11" s="70">
        <v>134</v>
      </c>
      <c r="N11" s="70">
        <v>11</v>
      </c>
      <c r="O11" s="70">
        <v>0</v>
      </c>
      <c r="P11" s="71">
        <v>145</v>
      </c>
      <c r="Q11" s="71">
        <v>569735.66308243724</v>
      </c>
      <c r="R11" s="58">
        <f t="shared" si="0"/>
        <v>3929.2114695340501</v>
      </c>
      <c r="S11" s="58">
        <f t="shared" si="1"/>
        <v>31433.691756272401</v>
      </c>
      <c r="T11" s="71">
        <v>0</v>
      </c>
      <c r="U11" s="71">
        <v>18125</v>
      </c>
      <c r="V11" s="71">
        <v>50000</v>
      </c>
      <c r="W11" s="71">
        <v>0</v>
      </c>
      <c r="X11" s="71">
        <v>0</v>
      </c>
      <c r="Y11" s="71">
        <v>0</v>
      </c>
      <c r="Z11" s="71">
        <v>196000</v>
      </c>
      <c r="AA11" s="71">
        <v>834000</v>
      </c>
    </row>
    <row r="12" spans="2:27" x14ac:dyDescent="0.25">
      <c r="B12" s="67">
        <v>8</v>
      </c>
      <c r="C12" s="72" t="s">
        <v>29</v>
      </c>
      <c r="D12" s="68" t="s">
        <v>3</v>
      </c>
      <c r="E12" s="67"/>
      <c r="F12" s="68"/>
      <c r="G12" s="69">
        <v>1</v>
      </c>
      <c r="H12" s="69" t="s">
        <v>23</v>
      </c>
      <c r="I12" s="69"/>
      <c r="J12" s="67"/>
      <c r="K12" s="69"/>
      <c r="L12" s="70">
        <v>41</v>
      </c>
      <c r="M12" s="70">
        <v>8</v>
      </c>
      <c r="N12" s="70">
        <v>135</v>
      </c>
      <c r="O12" s="70">
        <v>0</v>
      </c>
      <c r="P12" s="71">
        <v>184</v>
      </c>
      <c r="Q12" s="71">
        <v>728099.9103942652</v>
      </c>
      <c r="R12" s="58">
        <f t="shared" si="0"/>
        <v>3957.0647304036152</v>
      </c>
      <c r="S12" s="58">
        <f t="shared" si="1"/>
        <v>31656.517843228921</v>
      </c>
      <c r="T12" s="71">
        <v>100000</v>
      </c>
      <c r="U12" s="71">
        <v>23000</v>
      </c>
      <c r="V12" s="71">
        <v>50000</v>
      </c>
      <c r="W12" s="71">
        <v>46000</v>
      </c>
      <c r="X12" s="71">
        <v>0</v>
      </c>
      <c r="Y12" s="71">
        <v>0</v>
      </c>
      <c r="Z12" s="71">
        <v>122500</v>
      </c>
      <c r="AA12" s="71">
        <v>1070000</v>
      </c>
    </row>
    <row r="13" spans="2:27" x14ac:dyDescent="0.25">
      <c r="B13" s="53">
        <v>9</v>
      </c>
      <c r="C13" s="56" t="s">
        <v>30</v>
      </c>
      <c r="D13" s="55" t="s">
        <v>3</v>
      </c>
      <c r="E13" s="53"/>
      <c r="F13" s="55"/>
      <c r="G13" s="57">
        <v>1</v>
      </c>
      <c r="H13" s="57"/>
      <c r="I13" s="57" t="s">
        <v>53</v>
      </c>
      <c r="J13" s="53"/>
      <c r="K13" s="57"/>
      <c r="L13" s="66">
        <v>0</v>
      </c>
      <c r="M13" s="66">
        <v>216</v>
      </c>
      <c r="N13" s="66">
        <v>14</v>
      </c>
      <c r="O13" s="66">
        <v>0</v>
      </c>
      <c r="P13" s="58">
        <v>230</v>
      </c>
      <c r="Q13" s="58">
        <v>903718.63799283153</v>
      </c>
      <c r="R13" s="58">
        <f t="shared" si="0"/>
        <v>3929.2114695340501</v>
      </c>
      <c r="S13" s="58">
        <f t="shared" si="1"/>
        <v>31433.691756272401</v>
      </c>
      <c r="T13" s="58">
        <v>50000</v>
      </c>
      <c r="U13" s="58">
        <v>28750</v>
      </c>
      <c r="V13" s="58">
        <v>50000</v>
      </c>
      <c r="W13" s="58">
        <v>86250</v>
      </c>
      <c r="X13" s="58">
        <v>0</v>
      </c>
      <c r="Y13" s="58">
        <v>0</v>
      </c>
      <c r="Z13" s="58">
        <v>3000</v>
      </c>
      <c r="AA13" s="58">
        <v>1122000</v>
      </c>
    </row>
    <row r="14" spans="2:27" x14ac:dyDescent="0.25">
      <c r="B14" s="53">
        <v>10</v>
      </c>
      <c r="C14" s="56" t="s">
        <v>31</v>
      </c>
      <c r="D14" s="55" t="s">
        <v>3</v>
      </c>
      <c r="E14" s="57"/>
      <c r="F14" s="55"/>
      <c r="G14" s="57">
        <v>1</v>
      </c>
      <c r="H14" s="57"/>
      <c r="I14" s="57" t="s">
        <v>53</v>
      </c>
      <c r="J14" s="53"/>
      <c r="K14" s="57" t="s">
        <v>23</v>
      </c>
      <c r="L14" s="66">
        <v>232</v>
      </c>
      <c r="M14" s="66">
        <v>22</v>
      </c>
      <c r="N14" s="66">
        <v>0</v>
      </c>
      <c r="O14" s="66">
        <v>0</v>
      </c>
      <c r="P14" s="58">
        <v>254</v>
      </c>
      <c r="Q14" s="58">
        <v>1027019.7132616488</v>
      </c>
      <c r="R14" s="58">
        <f t="shared" si="0"/>
        <v>4043.3846978805068</v>
      </c>
      <c r="S14" s="58">
        <f t="shared" si="1"/>
        <v>32347.077583044054</v>
      </c>
      <c r="T14" s="58">
        <v>50000</v>
      </c>
      <c r="U14" s="58">
        <v>31750</v>
      </c>
      <c r="V14" s="58">
        <v>50000</v>
      </c>
      <c r="W14" s="58">
        <v>95250</v>
      </c>
      <c r="X14" s="58">
        <v>0</v>
      </c>
      <c r="Y14" s="58">
        <v>50000</v>
      </c>
      <c r="Z14" s="58">
        <v>0</v>
      </c>
      <c r="AA14" s="58">
        <v>1304500</v>
      </c>
    </row>
    <row r="15" spans="2:27" x14ac:dyDescent="0.25">
      <c r="B15" s="53">
        <v>11</v>
      </c>
      <c r="C15" s="56" t="s">
        <v>32</v>
      </c>
      <c r="D15" s="55" t="s">
        <v>3</v>
      </c>
      <c r="E15" s="53" t="s">
        <v>52</v>
      </c>
      <c r="F15" s="55"/>
      <c r="G15" s="57">
        <v>1</v>
      </c>
      <c r="H15" s="57"/>
      <c r="I15" s="57"/>
      <c r="J15" s="53"/>
      <c r="K15" s="57"/>
      <c r="L15" s="66">
        <v>205</v>
      </c>
      <c r="M15" s="66">
        <v>4</v>
      </c>
      <c r="N15" s="66">
        <v>1</v>
      </c>
      <c r="O15" s="66">
        <v>0</v>
      </c>
      <c r="P15" s="58">
        <v>210</v>
      </c>
      <c r="Q15" s="58">
        <v>850759.40860215051</v>
      </c>
      <c r="R15" s="58">
        <f t="shared" si="0"/>
        <v>4051.2352790578598</v>
      </c>
      <c r="S15" s="58">
        <f t="shared" si="1"/>
        <v>32409.882232462878</v>
      </c>
      <c r="T15" s="58">
        <v>0</v>
      </c>
      <c r="U15" s="58">
        <v>26250</v>
      </c>
      <c r="V15" s="58">
        <v>50000</v>
      </c>
      <c r="W15" s="58">
        <v>52500</v>
      </c>
      <c r="X15" s="58">
        <v>0</v>
      </c>
      <c r="Y15" s="58">
        <v>0</v>
      </c>
      <c r="Z15" s="58">
        <v>3000</v>
      </c>
      <c r="AA15" s="58">
        <v>983000</v>
      </c>
    </row>
    <row r="16" spans="2:27" x14ac:dyDescent="0.25">
      <c r="B16" s="53">
        <v>12</v>
      </c>
      <c r="C16" s="56" t="s">
        <v>35</v>
      </c>
      <c r="D16" s="55" t="s">
        <v>25</v>
      </c>
      <c r="E16" s="53" t="s">
        <v>52</v>
      </c>
      <c r="F16" s="73"/>
      <c r="G16" s="73"/>
      <c r="H16" s="73"/>
      <c r="I16" s="57"/>
      <c r="J16" s="73"/>
      <c r="K16" s="73"/>
      <c r="L16" s="66">
        <v>4</v>
      </c>
      <c r="M16" s="66">
        <v>32</v>
      </c>
      <c r="N16" s="66">
        <v>170</v>
      </c>
      <c r="O16" s="66">
        <v>0</v>
      </c>
      <c r="P16" s="58">
        <v>206</v>
      </c>
      <c r="Q16" s="58">
        <v>809917.56272401428</v>
      </c>
      <c r="R16" s="58">
        <f t="shared" si="0"/>
        <v>3931.6386540000694</v>
      </c>
      <c r="S16" s="58">
        <f t="shared" si="1"/>
        <v>31453.109232000555</v>
      </c>
      <c r="T16" s="58">
        <v>0</v>
      </c>
      <c r="U16" s="58">
        <v>25750</v>
      </c>
      <c r="V16" s="58">
        <v>0</v>
      </c>
      <c r="W16" s="58">
        <v>0</v>
      </c>
      <c r="X16" s="58">
        <v>0</v>
      </c>
      <c r="Y16" s="58">
        <v>0</v>
      </c>
      <c r="Z16" s="58">
        <v>1000</v>
      </c>
      <c r="AA16" s="58">
        <v>837000</v>
      </c>
    </row>
    <row r="17" spans="2:27" x14ac:dyDescent="0.25">
      <c r="B17" s="53">
        <v>13</v>
      </c>
      <c r="C17" s="56" t="s">
        <v>36</v>
      </c>
      <c r="D17" s="55" t="s">
        <v>25</v>
      </c>
      <c r="E17" s="53" t="s">
        <v>52</v>
      </c>
      <c r="F17" s="73"/>
      <c r="G17" s="73"/>
      <c r="H17" s="73"/>
      <c r="I17" s="57" t="s">
        <v>50</v>
      </c>
      <c r="J17" s="73"/>
      <c r="K17" s="73"/>
      <c r="L17" s="66">
        <v>8</v>
      </c>
      <c r="M17" s="66">
        <v>33</v>
      </c>
      <c r="N17" s="66">
        <v>30</v>
      </c>
      <c r="O17" s="66">
        <v>0</v>
      </c>
      <c r="P17" s="58">
        <v>71</v>
      </c>
      <c r="Q17" s="58">
        <v>279974.01433691755</v>
      </c>
      <c r="R17" s="58">
        <f t="shared" si="0"/>
        <v>3943.2959765763035</v>
      </c>
      <c r="S17" s="58">
        <f t="shared" si="1"/>
        <v>31546.367812610428</v>
      </c>
      <c r="T17" s="58">
        <v>0</v>
      </c>
      <c r="U17" s="58">
        <v>8875</v>
      </c>
      <c r="V17" s="58">
        <v>0</v>
      </c>
      <c r="W17" s="58">
        <v>0</v>
      </c>
      <c r="X17" s="58">
        <v>0</v>
      </c>
      <c r="Y17" s="58">
        <v>0</v>
      </c>
      <c r="Z17" s="58">
        <v>0</v>
      </c>
      <c r="AA17" s="58">
        <v>289000</v>
      </c>
    </row>
    <row r="18" spans="2:27" x14ac:dyDescent="0.25">
      <c r="B18" s="51"/>
      <c r="C18" s="74"/>
      <c r="D18" s="74"/>
      <c r="E18" s="51"/>
      <c r="F18" s="74"/>
      <c r="G18" s="52"/>
      <c r="H18" s="52"/>
      <c r="I18" s="52"/>
      <c r="J18" s="51"/>
      <c r="K18" s="52"/>
      <c r="L18" s="75">
        <v>744</v>
      </c>
      <c r="M18" s="75">
        <v>744</v>
      </c>
      <c r="N18" s="75">
        <v>744</v>
      </c>
      <c r="O18" s="75">
        <v>0</v>
      </c>
      <c r="P18" s="75">
        <v>2232</v>
      </c>
      <c r="Q18" s="75">
        <v>8863000</v>
      </c>
      <c r="R18" s="75"/>
      <c r="S18" s="75"/>
      <c r="T18" s="75">
        <v>450000</v>
      </c>
      <c r="U18" s="75">
        <v>279000</v>
      </c>
      <c r="V18" s="75">
        <v>650000</v>
      </c>
      <c r="W18" s="75">
        <v>435625</v>
      </c>
      <c r="X18" s="75">
        <v>0</v>
      </c>
      <c r="Y18" s="75">
        <v>290000</v>
      </c>
      <c r="Z18" s="75">
        <v>2017000</v>
      </c>
      <c r="AA18" s="75">
        <v>12988500</v>
      </c>
    </row>
    <row r="21" spans="2:27" x14ac:dyDescent="0.25">
      <c r="B21" s="47"/>
      <c r="C21" s="47"/>
      <c r="D21" s="47"/>
      <c r="E21" s="47"/>
      <c r="F21" s="47"/>
      <c r="G21" s="47"/>
      <c r="H21" s="47"/>
      <c r="I21" s="47"/>
      <c r="J21" s="47"/>
      <c r="K21" s="76" t="s">
        <v>60</v>
      </c>
      <c r="L21" s="76" t="s">
        <v>61</v>
      </c>
      <c r="M21" s="76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</row>
    <row r="22" spans="2:27" x14ac:dyDescent="0.25">
      <c r="B22" s="47"/>
      <c r="C22" s="47"/>
      <c r="D22" s="47"/>
      <c r="E22" s="47"/>
      <c r="F22" s="47"/>
      <c r="G22" s="47"/>
      <c r="H22" s="47"/>
      <c r="I22" s="47"/>
      <c r="J22" s="47"/>
      <c r="K22" s="47">
        <v>32000</v>
      </c>
      <c r="L22" s="47">
        <v>31000</v>
      </c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</row>
    <row r="23" spans="2:27" ht="33.75" x14ac:dyDescent="0.25">
      <c r="B23" s="51" t="s">
        <v>1</v>
      </c>
      <c r="C23" s="51" t="s">
        <v>2</v>
      </c>
      <c r="D23" s="52" t="s">
        <v>3</v>
      </c>
      <c r="E23" s="51" t="s">
        <v>52</v>
      </c>
      <c r="F23" s="51" t="s">
        <v>57</v>
      </c>
      <c r="G23" s="51" t="s">
        <v>58</v>
      </c>
      <c r="H23" s="51" t="s">
        <v>7</v>
      </c>
      <c r="I23" s="51" t="s">
        <v>8</v>
      </c>
      <c r="J23" s="51" t="s">
        <v>9</v>
      </c>
      <c r="K23" s="51" t="s">
        <v>10</v>
      </c>
      <c r="L23" s="51" t="s">
        <v>11</v>
      </c>
      <c r="M23" s="51" t="s">
        <v>62</v>
      </c>
      <c r="N23" s="51" t="s">
        <v>12</v>
      </c>
      <c r="O23" s="51"/>
      <c r="P23" s="51" t="s">
        <v>13</v>
      </c>
      <c r="Q23" s="51"/>
      <c r="R23" s="51" t="s">
        <v>14</v>
      </c>
      <c r="S23" s="51" t="s">
        <v>15</v>
      </c>
      <c r="T23" s="51" t="s">
        <v>16</v>
      </c>
      <c r="U23" s="51" t="s">
        <v>55</v>
      </c>
      <c r="V23" s="51" t="s">
        <v>56</v>
      </c>
      <c r="W23" s="51" t="s">
        <v>4</v>
      </c>
      <c r="X23" s="51" t="s">
        <v>5</v>
      </c>
      <c r="Y23" s="51" t="s">
        <v>6</v>
      </c>
    </row>
    <row r="24" spans="2:27" x14ac:dyDescent="0.25">
      <c r="B24" s="53">
        <v>1</v>
      </c>
      <c r="C24" s="54" t="s">
        <v>22</v>
      </c>
      <c r="D24" s="77" t="s">
        <v>3</v>
      </c>
      <c r="E24" s="50">
        <v>4</v>
      </c>
      <c r="F24" s="50">
        <v>4</v>
      </c>
      <c r="G24" s="50">
        <v>2</v>
      </c>
      <c r="H24" s="77" t="s">
        <v>59</v>
      </c>
      <c r="I24" s="50"/>
      <c r="J24" s="50"/>
      <c r="K24" s="50"/>
      <c r="L24" s="50">
        <v>32</v>
      </c>
      <c r="M24" s="50">
        <f>$K$22/8*L24</f>
        <v>128000</v>
      </c>
      <c r="N24" s="50">
        <v>10</v>
      </c>
      <c r="O24" s="50">
        <f>$L$22/8*N24</f>
        <v>38750</v>
      </c>
      <c r="P24" s="50">
        <v>152</v>
      </c>
      <c r="Q24" s="50">
        <f>$L$22/8*P24</f>
        <v>589000</v>
      </c>
      <c r="R24" s="50"/>
      <c r="S24" s="50">
        <f>L24+N24+P24</f>
        <v>194</v>
      </c>
      <c r="T24" s="50">
        <f>M24+O24+Q24</f>
        <v>755750</v>
      </c>
      <c r="U24" s="50"/>
      <c r="V24" s="50"/>
      <c r="W24" s="50"/>
      <c r="X24" s="50"/>
      <c r="Y24" s="50"/>
    </row>
    <row r="25" spans="2:27" x14ac:dyDescent="0.25">
      <c r="B25" s="59">
        <v>2</v>
      </c>
      <c r="C25" s="60" t="s">
        <v>49</v>
      </c>
      <c r="D25" s="50"/>
      <c r="E25" s="50"/>
      <c r="F25" s="50"/>
      <c r="G25" s="50"/>
      <c r="H25" s="50"/>
      <c r="I25" s="50"/>
      <c r="J25" s="50"/>
      <c r="K25" s="50"/>
      <c r="L25" s="63">
        <v>16</v>
      </c>
      <c r="M25" s="50">
        <f t="shared" ref="M25:M36" si="2">$K$22/8*L25</f>
        <v>64000</v>
      </c>
      <c r="N25" s="63">
        <v>59</v>
      </c>
      <c r="O25" s="50">
        <f t="shared" ref="O25:O36" si="3">$L$22/8*N25</f>
        <v>228625</v>
      </c>
      <c r="P25" s="63">
        <v>40</v>
      </c>
      <c r="Q25" s="50">
        <f t="shared" ref="Q25:Q36" si="4">$L$22/8*P25</f>
        <v>155000</v>
      </c>
      <c r="R25" s="50"/>
      <c r="S25" s="50">
        <f t="shared" ref="S25:S36" si="5">L25+N25+P25</f>
        <v>115</v>
      </c>
      <c r="T25" s="50">
        <f t="shared" ref="T25:T36" si="6">M25+O25+Q25</f>
        <v>447625</v>
      </c>
      <c r="U25" s="50"/>
      <c r="V25" s="50"/>
      <c r="W25" s="50"/>
      <c r="X25" s="50"/>
      <c r="Y25" s="50"/>
    </row>
    <row r="26" spans="2:27" x14ac:dyDescent="0.25">
      <c r="B26" s="53">
        <v>3</v>
      </c>
      <c r="C26" s="56" t="s">
        <v>24</v>
      </c>
      <c r="D26" s="50"/>
      <c r="E26" s="50"/>
      <c r="F26" s="50"/>
      <c r="G26" s="50"/>
      <c r="H26" s="50"/>
      <c r="I26" s="50"/>
      <c r="J26" s="50"/>
      <c r="K26" s="50"/>
      <c r="L26" s="66">
        <v>202</v>
      </c>
      <c r="M26" s="50">
        <f t="shared" si="2"/>
        <v>808000</v>
      </c>
      <c r="N26" s="66">
        <v>6</v>
      </c>
      <c r="O26" s="50">
        <f t="shared" si="3"/>
        <v>23250</v>
      </c>
      <c r="P26" s="66">
        <v>8</v>
      </c>
      <c r="Q26" s="50">
        <f t="shared" si="4"/>
        <v>31000</v>
      </c>
      <c r="R26" s="50"/>
      <c r="S26" s="50">
        <f t="shared" si="5"/>
        <v>216</v>
      </c>
      <c r="T26" s="50">
        <f t="shared" si="6"/>
        <v>862250</v>
      </c>
      <c r="U26" s="50"/>
      <c r="V26" s="50"/>
      <c r="W26" s="50"/>
      <c r="X26" s="50"/>
      <c r="Y26" s="50"/>
    </row>
    <row r="27" spans="2:27" x14ac:dyDescent="0.25">
      <c r="B27" s="53">
        <v>4</v>
      </c>
      <c r="C27" s="55" t="s">
        <v>54</v>
      </c>
      <c r="D27" s="50"/>
      <c r="E27" s="50"/>
      <c r="F27" s="50"/>
      <c r="G27" s="50"/>
      <c r="H27" s="50"/>
      <c r="I27" s="50"/>
      <c r="J27" s="50"/>
      <c r="K27" s="50"/>
      <c r="L27" s="66">
        <v>0</v>
      </c>
      <c r="M27" s="50">
        <f t="shared" si="2"/>
        <v>0</v>
      </c>
      <c r="N27" s="66">
        <v>136</v>
      </c>
      <c r="O27" s="50">
        <f t="shared" si="3"/>
        <v>527000</v>
      </c>
      <c r="P27" s="66">
        <v>72</v>
      </c>
      <c r="Q27" s="50">
        <f t="shared" si="4"/>
        <v>279000</v>
      </c>
      <c r="R27" s="50"/>
      <c r="S27" s="50">
        <f t="shared" si="5"/>
        <v>208</v>
      </c>
      <c r="T27" s="50">
        <f t="shared" si="6"/>
        <v>806000</v>
      </c>
      <c r="U27" s="50"/>
      <c r="V27" s="50"/>
      <c r="W27" s="50"/>
      <c r="X27" s="50"/>
      <c r="Y27" s="50"/>
    </row>
    <row r="28" spans="2:27" x14ac:dyDescent="0.25">
      <c r="B28" s="67">
        <v>5</v>
      </c>
      <c r="C28" s="68" t="s">
        <v>26</v>
      </c>
      <c r="D28" s="50"/>
      <c r="E28" s="50"/>
      <c r="F28" s="50"/>
      <c r="G28" s="50"/>
      <c r="H28" s="50"/>
      <c r="I28" s="50"/>
      <c r="J28" s="50"/>
      <c r="K28" s="50"/>
      <c r="L28" s="70">
        <v>4</v>
      </c>
      <c r="M28" s="50">
        <f t="shared" si="2"/>
        <v>16000</v>
      </c>
      <c r="N28" s="70">
        <v>0</v>
      </c>
      <c r="O28" s="50">
        <f t="shared" si="3"/>
        <v>0</v>
      </c>
      <c r="P28" s="70">
        <v>109</v>
      </c>
      <c r="Q28" s="50">
        <f t="shared" si="4"/>
        <v>422375</v>
      </c>
      <c r="R28" s="50"/>
      <c r="S28" s="50">
        <f t="shared" si="5"/>
        <v>113</v>
      </c>
      <c r="T28" s="50">
        <f t="shared" si="6"/>
        <v>438375</v>
      </c>
      <c r="U28" s="50"/>
      <c r="V28" s="50"/>
      <c r="W28" s="50"/>
      <c r="X28" s="50"/>
      <c r="Y28" s="50"/>
    </row>
    <row r="29" spans="2:27" x14ac:dyDescent="0.25">
      <c r="B29" s="67">
        <v>6</v>
      </c>
      <c r="C29" s="72" t="s">
        <v>27</v>
      </c>
      <c r="D29" s="50"/>
      <c r="E29" s="50"/>
      <c r="F29" s="50"/>
      <c r="G29" s="50"/>
      <c r="H29" s="50"/>
      <c r="I29" s="50"/>
      <c r="J29" s="50"/>
      <c r="K29" s="50"/>
      <c r="L29" s="70">
        <v>0</v>
      </c>
      <c r="M29" s="50">
        <f t="shared" si="2"/>
        <v>0</v>
      </c>
      <c r="N29" s="70">
        <v>84</v>
      </c>
      <c r="O29" s="50">
        <f t="shared" si="3"/>
        <v>325500</v>
      </c>
      <c r="P29" s="70">
        <v>2</v>
      </c>
      <c r="Q29" s="50">
        <f t="shared" si="4"/>
        <v>7750</v>
      </c>
      <c r="R29" s="50"/>
      <c r="S29" s="50">
        <f t="shared" si="5"/>
        <v>86</v>
      </c>
      <c r="T29" s="50">
        <f t="shared" si="6"/>
        <v>333250</v>
      </c>
      <c r="U29" s="50"/>
      <c r="V29" s="50"/>
      <c r="W29" s="50"/>
      <c r="X29" s="50"/>
      <c r="Y29" s="50"/>
    </row>
    <row r="30" spans="2:27" x14ac:dyDescent="0.25">
      <c r="B30" s="67">
        <v>7</v>
      </c>
      <c r="C30" s="72" t="s">
        <v>28</v>
      </c>
      <c r="D30" s="50"/>
      <c r="E30" s="50"/>
      <c r="F30" s="50"/>
      <c r="G30" s="50"/>
      <c r="H30" s="50"/>
      <c r="I30" s="50"/>
      <c r="J30" s="50"/>
      <c r="K30" s="50"/>
      <c r="L30" s="70">
        <v>0</v>
      </c>
      <c r="M30" s="50">
        <f t="shared" si="2"/>
        <v>0</v>
      </c>
      <c r="N30" s="70">
        <v>134</v>
      </c>
      <c r="O30" s="50">
        <f t="shared" si="3"/>
        <v>519250</v>
      </c>
      <c r="P30" s="70">
        <v>11</v>
      </c>
      <c r="Q30" s="50">
        <f t="shared" si="4"/>
        <v>42625</v>
      </c>
      <c r="R30" s="50"/>
      <c r="S30" s="50">
        <f t="shared" si="5"/>
        <v>145</v>
      </c>
      <c r="T30" s="50">
        <f t="shared" si="6"/>
        <v>561875</v>
      </c>
      <c r="U30" s="50"/>
      <c r="V30" s="50"/>
      <c r="W30" s="50"/>
      <c r="X30" s="50"/>
      <c r="Y30" s="50"/>
    </row>
    <row r="31" spans="2:27" x14ac:dyDescent="0.25">
      <c r="B31" s="67">
        <v>8</v>
      </c>
      <c r="C31" s="72" t="s">
        <v>29</v>
      </c>
      <c r="D31" s="50"/>
      <c r="E31" s="50"/>
      <c r="F31" s="50"/>
      <c r="G31" s="50"/>
      <c r="H31" s="50"/>
      <c r="I31" s="50"/>
      <c r="J31" s="50"/>
      <c r="K31" s="50"/>
      <c r="L31" s="70">
        <v>41</v>
      </c>
      <c r="M31" s="50">
        <f t="shared" si="2"/>
        <v>164000</v>
      </c>
      <c r="N31" s="70">
        <v>8</v>
      </c>
      <c r="O31" s="50">
        <f t="shared" si="3"/>
        <v>31000</v>
      </c>
      <c r="P31" s="70">
        <v>135</v>
      </c>
      <c r="Q31" s="50">
        <f t="shared" si="4"/>
        <v>523125</v>
      </c>
      <c r="R31" s="50"/>
      <c r="S31" s="50">
        <f t="shared" si="5"/>
        <v>184</v>
      </c>
      <c r="T31" s="50">
        <f t="shared" si="6"/>
        <v>718125</v>
      </c>
      <c r="U31" s="50"/>
      <c r="V31" s="50"/>
      <c r="W31" s="50"/>
      <c r="X31" s="50"/>
      <c r="Y31" s="50"/>
    </row>
    <row r="32" spans="2:27" x14ac:dyDescent="0.25">
      <c r="B32" s="53">
        <v>9</v>
      </c>
      <c r="C32" s="56" t="s">
        <v>30</v>
      </c>
      <c r="D32" s="50"/>
      <c r="E32" s="50"/>
      <c r="F32" s="50"/>
      <c r="G32" s="50"/>
      <c r="H32" s="50"/>
      <c r="I32" s="50"/>
      <c r="J32" s="50"/>
      <c r="K32" s="50"/>
      <c r="L32" s="66">
        <v>0</v>
      </c>
      <c r="M32" s="50">
        <f t="shared" si="2"/>
        <v>0</v>
      </c>
      <c r="N32" s="66">
        <v>216</v>
      </c>
      <c r="O32" s="50">
        <f t="shared" si="3"/>
        <v>837000</v>
      </c>
      <c r="P32" s="66">
        <v>14</v>
      </c>
      <c r="Q32" s="50">
        <f t="shared" si="4"/>
        <v>54250</v>
      </c>
      <c r="R32" s="50"/>
      <c r="S32" s="50">
        <f t="shared" si="5"/>
        <v>230</v>
      </c>
      <c r="T32" s="50">
        <f t="shared" si="6"/>
        <v>891250</v>
      </c>
      <c r="U32" s="50"/>
      <c r="V32" s="50"/>
      <c r="W32" s="50"/>
      <c r="X32" s="50"/>
      <c r="Y32" s="50"/>
    </row>
    <row r="33" spans="2:25" x14ac:dyDescent="0.25">
      <c r="B33" s="53">
        <v>10</v>
      </c>
      <c r="C33" s="56" t="s">
        <v>31</v>
      </c>
      <c r="D33" s="50"/>
      <c r="E33" s="50"/>
      <c r="F33" s="50"/>
      <c r="G33" s="50"/>
      <c r="H33" s="50"/>
      <c r="I33" s="50"/>
      <c r="J33" s="50"/>
      <c r="K33" s="50"/>
      <c r="L33" s="66">
        <v>232</v>
      </c>
      <c r="M33" s="50">
        <f t="shared" si="2"/>
        <v>928000</v>
      </c>
      <c r="N33" s="66">
        <v>22</v>
      </c>
      <c r="O33" s="50">
        <f t="shared" si="3"/>
        <v>85250</v>
      </c>
      <c r="P33" s="66">
        <v>0</v>
      </c>
      <c r="Q33" s="50">
        <f t="shared" si="4"/>
        <v>0</v>
      </c>
      <c r="R33" s="50"/>
      <c r="S33" s="50">
        <f t="shared" si="5"/>
        <v>254</v>
      </c>
      <c r="T33" s="50">
        <f t="shared" si="6"/>
        <v>1013250</v>
      </c>
      <c r="U33" s="50"/>
      <c r="V33" s="50"/>
      <c r="W33" s="50"/>
      <c r="X33" s="50"/>
      <c r="Y33" s="50"/>
    </row>
    <row r="34" spans="2:25" x14ac:dyDescent="0.25">
      <c r="B34" s="53">
        <v>11</v>
      </c>
      <c r="C34" s="56" t="s">
        <v>32</v>
      </c>
      <c r="D34" s="50"/>
      <c r="E34" s="50"/>
      <c r="F34" s="50"/>
      <c r="G34" s="50"/>
      <c r="H34" s="50"/>
      <c r="I34" s="50"/>
      <c r="J34" s="50"/>
      <c r="K34" s="50"/>
      <c r="L34" s="66">
        <v>205</v>
      </c>
      <c r="M34" s="50">
        <f t="shared" si="2"/>
        <v>820000</v>
      </c>
      <c r="N34" s="66">
        <v>4</v>
      </c>
      <c r="O34" s="50">
        <f t="shared" si="3"/>
        <v>15500</v>
      </c>
      <c r="P34" s="66">
        <v>1</v>
      </c>
      <c r="Q34" s="50">
        <f t="shared" si="4"/>
        <v>3875</v>
      </c>
      <c r="R34" s="50"/>
      <c r="S34" s="50">
        <f t="shared" si="5"/>
        <v>210</v>
      </c>
      <c r="T34" s="50">
        <f t="shared" si="6"/>
        <v>839375</v>
      </c>
      <c r="U34" s="50"/>
      <c r="V34" s="50"/>
      <c r="W34" s="50"/>
      <c r="X34" s="50"/>
      <c r="Y34" s="50"/>
    </row>
    <row r="35" spans="2:25" x14ac:dyDescent="0.25">
      <c r="B35" s="53">
        <v>12</v>
      </c>
      <c r="C35" s="56" t="s">
        <v>35</v>
      </c>
      <c r="D35" s="50"/>
      <c r="E35" s="50"/>
      <c r="F35" s="50"/>
      <c r="G35" s="50"/>
      <c r="H35" s="50"/>
      <c r="I35" s="50"/>
      <c r="J35" s="50"/>
      <c r="K35" s="50"/>
      <c r="L35" s="66">
        <v>4</v>
      </c>
      <c r="M35" s="50">
        <f t="shared" si="2"/>
        <v>16000</v>
      </c>
      <c r="N35" s="66">
        <v>32</v>
      </c>
      <c r="O35" s="50">
        <f t="shared" si="3"/>
        <v>124000</v>
      </c>
      <c r="P35" s="66">
        <v>170</v>
      </c>
      <c r="Q35" s="50">
        <f t="shared" si="4"/>
        <v>658750</v>
      </c>
      <c r="R35" s="50"/>
      <c r="S35" s="50">
        <f t="shared" si="5"/>
        <v>206</v>
      </c>
      <c r="T35" s="50">
        <f t="shared" si="6"/>
        <v>798750</v>
      </c>
      <c r="U35" s="50"/>
      <c r="V35" s="50"/>
      <c r="W35" s="50"/>
      <c r="X35" s="50"/>
      <c r="Y35" s="50"/>
    </row>
    <row r="36" spans="2:25" x14ac:dyDescent="0.25">
      <c r="B36" s="53">
        <v>13</v>
      </c>
      <c r="C36" s="56" t="s">
        <v>36</v>
      </c>
      <c r="D36" s="50"/>
      <c r="E36" s="50"/>
      <c r="F36" s="50"/>
      <c r="G36" s="50"/>
      <c r="H36" s="50"/>
      <c r="I36" s="50"/>
      <c r="J36" s="50"/>
      <c r="K36" s="50"/>
      <c r="L36" s="66">
        <v>8</v>
      </c>
      <c r="M36" s="50">
        <f t="shared" si="2"/>
        <v>32000</v>
      </c>
      <c r="N36" s="66">
        <v>33</v>
      </c>
      <c r="O36" s="50">
        <f t="shared" si="3"/>
        <v>127875</v>
      </c>
      <c r="P36" s="66">
        <v>30</v>
      </c>
      <c r="Q36" s="50">
        <f t="shared" si="4"/>
        <v>116250</v>
      </c>
      <c r="R36" s="50"/>
      <c r="S36" s="50">
        <f t="shared" si="5"/>
        <v>71</v>
      </c>
      <c r="T36" s="50">
        <f t="shared" si="6"/>
        <v>276125</v>
      </c>
      <c r="U36" s="50"/>
      <c r="V36" s="50"/>
      <c r="W36" s="50"/>
      <c r="X36" s="50"/>
      <c r="Y36" s="50"/>
    </row>
    <row r="37" spans="2:25" x14ac:dyDescent="0.25">
      <c r="B37" s="51"/>
      <c r="C37" s="74"/>
      <c r="D37" s="78"/>
      <c r="E37" s="78"/>
      <c r="F37" s="78"/>
      <c r="G37" s="78"/>
      <c r="H37" s="78"/>
      <c r="I37" s="78"/>
      <c r="J37" s="78"/>
      <c r="K37" s="78"/>
      <c r="L37" s="78">
        <f t="shared" ref="L37:Q37" si="7">SUM(L24:L36)</f>
        <v>744</v>
      </c>
      <c r="M37" s="78">
        <f t="shared" si="7"/>
        <v>2976000</v>
      </c>
      <c r="N37" s="78">
        <f t="shared" si="7"/>
        <v>744</v>
      </c>
      <c r="O37" s="78">
        <f t="shared" si="7"/>
        <v>2883000</v>
      </c>
      <c r="P37" s="78">
        <f t="shared" si="7"/>
        <v>744</v>
      </c>
      <c r="Q37" s="78">
        <f t="shared" si="7"/>
        <v>2883000</v>
      </c>
      <c r="R37" s="78"/>
      <c r="S37" s="78">
        <f>SUM(S24:S36)</f>
        <v>2232</v>
      </c>
      <c r="T37" s="78">
        <f>SUM(T24:T36)</f>
        <v>8742000</v>
      </c>
      <c r="U37" s="78"/>
      <c r="V37" s="78"/>
      <c r="W37" s="78"/>
      <c r="X37" s="78"/>
      <c r="Y37" s="78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12"/>
  <sheetViews>
    <sheetView workbookViewId="0">
      <selection activeCell="A12" sqref="A12"/>
    </sheetView>
  </sheetViews>
  <sheetFormatPr defaultRowHeight="15" x14ac:dyDescent="0.25"/>
  <cols>
    <col min="9" max="9" width="18.140625" bestFit="1" customWidth="1"/>
  </cols>
  <sheetData>
    <row r="1" spans="1:10" x14ac:dyDescent="0.25">
      <c r="A1" t="s">
        <v>42</v>
      </c>
    </row>
    <row r="2" spans="1:10" x14ac:dyDescent="0.25">
      <c r="A2" t="s">
        <v>43</v>
      </c>
      <c r="B2" t="s">
        <v>44</v>
      </c>
      <c r="F2" s="42" t="s">
        <v>45</v>
      </c>
      <c r="I2" s="42" t="s">
        <v>46</v>
      </c>
      <c r="J2" s="42" t="s">
        <v>47</v>
      </c>
    </row>
    <row r="3" spans="1:10" x14ac:dyDescent="0.25">
      <c r="A3">
        <v>35000</v>
      </c>
      <c r="B3">
        <v>34000</v>
      </c>
      <c r="F3">
        <v>0</v>
      </c>
      <c r="I3" s="44">
        <f>Sheet1!B3</f>
        <v>45627</v>
      </c>
    </row>
    <row r="4" spans="1:10" x14ac:dyDescent="0.25">
      <c r="I4" s="45">
        <f>EOMONTH(I3,0)</f>
        <v>45657</v>
      </c>
      <c r="J4">
        <v>3</v>
      </c>
    </row>
    <row r="6" spans="1:10" x14ac:dyDescent="0.25">
      <c r="A6">
        <v>33000</v>
      </c>
      <c r="B6">
        <v>32000</v>
      </c>
    </row>
    <row r="10" spans="1:10" x14ac:dyDescent="0.25">
      <c r="A10">
        <f>A3*1.5</f>
        <v>52500</v>
      </c>
    </row>
    <row r="11" spans="1:10" x14ac:dyDescent="0.25">
      <c r="A11">
        <f>A10-A3</f>
        <v>17500</v>
      </c>
    </row>
    <row r="12" spans="1:10" x14ac:dyDescent="0.25">
      <c r="A12" s="99">
        <f>A11/8</f>
        <v>2187.5</v>
      </c>
      <c r="B12" s="99" t="s">
        <v>67</v>
      </c>
      <c r="C12" s="99"/>
      <c r="D12" s="99"/>
      <c r="E12" s="9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thomas</cp:lastModifiedBy>
  <cp:lastPrinted>2025-01-09T08:11:39Z</cp:lastPrinted>
  <dcterms:created xsi:type="dcterms:W3CDTF">2022-07-05T15:57:31Z</dcterms:created>
  <dcterms:modified xsi:type="dcterms:W3CDTF">2025-01-09T13:25:41Z</dcterms:modified>
</cp:coreProperties>
</file>