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W:\_DOC\doc\gaji\2024\9\"/>
    </mc:Choice>
  </mc:AlternateContent>
  <xr:revisionPtr revIDLastSave="0" documentId="13_ncr:1_{584329ED-FEF1-4BC6-91A0-1927DCEFE09C}" xr6:coauthVersionLast="45" xr6:coauthVersionMax="45" xr10:uidLastSave="{00000000-0000-0000-0000-000000000000}"/>
  <bookViews>
    <workbookView xWindow="4800" yWindow="2925" windowWidth="21600" windowHeight="12735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R8" i="1"/>
  <c r="V16" i="1" l="1"/>
  <c r="P5" i="1"/>
  <c r="S5" i="1" s="1"/>
  <c r="P16" i="1"/>
  <c r="R10" i="1" l="1"/>
  <c r="A12" i="2" l="1"/>
  <c r="A11" i="2"/>
  <c r="A10" i="2"/>
  <c r="T6" i="1" l="1"/>
  <c r="AF5" i="1" l="1"/>
  <c r="AF6" i="1"/>
  <c r="AF7" i="1"/>
  <c r="AF8" i="1"/>
  <c r="AF9" i="1"/>
  <c r="AF10" i="1"/>
  <c r="AF11" i="1"/>
  <c r="AF12" i="1"/>
  <c r="AF13" i="1"/>
  <c r="AF14" i="1"/>
  <c r="AF15" i="1"/>
  <c r="T8" i="1" l="1"/>
  <c r="V5" i="1" l="1"/>
  <c r="V6" i="1"/>
  <c r="V7" i="1"/>
  <c r="V8" i="1"/>
  <c r="P18" i="1" l="1"/>
  <c r="P17" i="1"/>
  <c r="P15" i="1"/>
  <c r="P14" i="1"/>
  <c r="P13" i="1"/>
  <c r="P12" i="1"/>
  <c r="U12" i="1" s="1"/>
  <c r="P11" i="1"/>
  <c r="P10" i="1"/>
  <c r="P9" i="1"/>
  <c r="S9" i="1" s="1"/>
  <c r="P8" i="1"/>
  <c r="P7" i="1"/>
  <c r="U7" i="1" s="1"/>
  <c r="P6" i="1"/>
  <c r="S6" i="1" s="1"/>
  <c r="U5" i="1"/>
  <c r="X9" i="1"/>
  <c r="R12" i="1"/>
  <c r="U15" i="1" l="1"/>
  <c r="R11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7" i="1" l="1"/>
  <c r="X10" i="1"/>
  <c r="X11" i="1"/>
  <c r="X12" i="1"/>
  <c r="X14" i="1"/>
  <c r="X17" i="1"/>
  <c r="X18" i="1"/>
  <c r="V18" i="1" l="1"/>
  <c r="U18" i="1"/>
  <c r="T18" i="1"/>
  <c r="R18" i="1"/>
  <c r="N19" i="1" l="1"/>
  <c r="M19" i="1"/>
  <c r="AM18" i="1"/>
  <c r="J19" i="1" l="1"/>
  <c r="S37" i="3" l="1"/>
  <c r="S25" i="3"/>
  <c r="S26" i="3"/>
  <c r="S27" i="3"/>
  <c r="S28" i="3"/>
  <c r="S29" i="3"/>
  <c r="S30" i="3"/>
  <c r="S31" i="3"/>
  <c r="S32" i="3"/>
  <c r="S33" i="3"/>
  <c r="S34" i="3"/>
  <c r="S35" i="3"/>
  <c r="S36" i="3"/>
  <c r="S24" i="3"/>
  <c r="P37" i="3"/>
  <c r="N37" i="3"/>
  <c r="L37" i="3"/>
  <c r="Q25" i="3"/>
  <c r="Q26" i="3"/>
  <c r="Q27" i="3"/>
  <c r="Q28" i="3"/>
  <c r="Q29" i="3"/>
  <c r="Q30" i="3"/>
  <c r="Q31" i="3"/>
  <c r="Q32" i="3"/>
  <c r="Q33" i="3"/>
  <c r="Q34" i="3"/>
  <c r="Q35" i="3"/>
  <c r="Q36" i="3"/>
  <c r="O25" i="3"/>
  <c r="O26" i="3"/>
  <c r="O27" i="3"/>
  <c r="O28" i="3"/>
  <c r="O29" i="3"/>
  <c r="O30" i="3"/>
  <c r="O31" i="3"/>
  <c r="O32" i="3"/>
  <c r="O33" i="3"/>
  <c r="O34" i="3"/>
  <c r="O35" i="3"/>
  <c r="O36" i="3"/>
  <c r="M25" i="3"/>
  <c r="M26" i="3"/>
  <c r="M27" i="3"/>
  <c r="M28" i="3"/>
  <c r="M29" i="3"/>
  <c r="M30" i="3"/>
  <c r="M31" i="3"/>
  <c r="M32" i="3"/>
  <c r="M33" i="3"/>
  <c r="M34" i="3"/>
  <c r="M35" i="3"/>
  <c r="M36" i="3"/>
  <c r="Q24" i="3"/>
  <c r="Q37" i="3" s="1"/>
  <c r="O24" i="3"/>
  <c r="O37" i="3" s="1"/>
  <c r="M24" i="3"/>
  <c r="M37" i="3" s="1"/>
  <c r="R6" i="3"/>
  <c r="S6" i="3" s="1"/>
  <c r="R7" i="3"/>
  <c r="S7" i="3" s="1"/>
  <c r="R8" i="3"/>
  <c r="S8" i="3" s="1"/>
  <c r="R9" i="3"/>
  <c r="S9" i="3" s="1"/>
  <c r="R10" i="3"/>
  <c r="S10" i="3" s="1"/>
  <c r="R11" i="3"/>
  <c r="S11" i="3" s="1"/>
  <c r="R12" i="3"/>
  <c r="S12" i="3" s="1"/>
  <c r="R13" i="3"/>
  <c r="S13" i="3" s="1"/>
  <c r="R14" i="3"/>
  <c r="S14" i="3" s="1"/>
  <c r="R15" i="3"/>
  <c r="S15" i="3" s="1"/>
  <c r="R16" i="3"/>
  <c r="S16" i="3" s="1"/>
  <c r="R17" i="3"/>
  <c r="S17" i="3" s="1"/>
  <c r="R5" i="3"/>
  <c r="S5" i="3" s="1"/>
  <c r="T34" i="3" l="1"/>
  <c r="T30" i="3"/>
  <c r="T26" i="3"/>
  <c r="T33" i="3"/>
  <c r="T29" i="3"/>
  <c r="T25" i="3"/>
  <c r="T36" i="3"/>
  <c r="T32" i="3"/>
  <c r="T28" i="3"/>
  <c r="T35" i="3"/>
  <c r="T31" i="3"/>
  <c r="T27" i="3"/>
  <c r="T24" i="3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T37" i="3" l="1"/>
  <c r="R17" i="1"/>
  <c r="I3" i="2" l="1"/>
  <c r="I4" i="2" s="1"/>
  <c r="X20" i="1" l="1"/>
  <c r="AF17" i="1"/>
  <c r="AF16" i="1"/>
  <c r="S16" i="1" l="1"/>
  <c r="O19" i="1"/>
  <c r="L19" i="1"/>
  <c r="S17" i="1"/>
  <c r="T17" i="1"/>
  <c r="U17" i="1"/>
  <c r="V17" i="1"/>
  <c r="L20" i="1" l="1"/>
  <c r="E25" i="1" s="1"/>
  <c r="L22" i="1"/>
  <c r="AE17" i="1"/>
  <c r="AG17" i="1" s="1"/>
  <c r="AE16" i="1"/>
  <c r="AG16" i="1" s="1"/>
  <c r="V9" i="1"/>
  <c r="T9" i="1"/>
  <c r="R9" i="1"/>
  <c r="F31" i="1"/>
  <c r="V15" i="1"/>
  <c r="T15" i="1"/>
  <c r="R15" i="1"/>
  <c r="V14" i="1"/>
  <c r="R14" i="1"/>
  <c r="V13" i="1"/>
  <c r="T13" i="1"/>
  <c r="R13" i="1"/>
  <c r="S13" i="1"/>
  <c r="V12" i="1"/>
  <c r="T12" i="1"/>
  <c r="S12" i="1"/>
  <c r="T7" i="1"/>
  <c r="R7" i="1"/>
  <c r="V10" i="1"/>
  <c r="T10" i="1"/>
  <c r="T16" i="1"/>
  <c r="T5" i="1"/>
  <c r="V11" i="1"/>
  <c r="Y19" i="1"/>
  <c r="Q18" i="1" l="1"/>
  <c r="Z18" i="1" s="1"/>
  <c r="Q10" i="1"/>
  <c r="Q12" i="1"/>
  <c r="Q9" i="1"/>
  <c r="Q14" i="1"/>
  <c r="Q8" i="1"/>
  <c r="Q5" i="1"/>
  <c r="Q7" i="1"/>
  <c r="Q6" i="1"/>
  <c r="Q13" i="1"/>
  <c r="Q11" i="1"/>
  <c r="U13" i="1"/>
  <c r="Q16" i="1"/>
  <c r="Q15" i="1"/>
  <c r="Q17" i="1"/>
  <c r="Z17" i="1" s="1"/>
  <c r="AE15" i="1"/>
  <c r="AG15" i="1" s="1"/>
  <c r="AE14" i="1"/>
  <c r="AG14" i="1" s="1"/>
  <c r="AE13" i="1"/>
  <c r="AG13" i="1" s="1"/>
  <c r="AE12" i="1"/>
  <c r="T19" i="1"/>
  <c r="X19" i="1"/>
  <c r="U14" i="1"/>
  <c r="V19" i="1"/>
  <c r="R19" i="1"/>
  <c r="U16" i="1"/>
  <c r="AG12" i="1" l="1"/>
  <c r="Z14" i="1"/>
  <c r="Z16" i="1"/>
  <c r="Z13" i="1" l="1"/>
  <c r="Z15" i="1"/>
  <c r="Z12" i="1"/>
  <c r="AE5" i="1" l="1"/>
  <c r="AG5" i="1" s="1"/>
  <c r="Z5" i="1"/>
  <c r="AE10" i="1"/>
  <c r="AG10" i="1" s="1"/>
  <c r="AE8" i="1"/>
  <c r="AG8" i="1" s="1"/>
  <c r="P19" i="1"/>
  <c r="F32" i="1" s="1"/>
  <c r="F33" i="1" s="1"/>
  <c r="U6" i="1"/>
  <c r="AE11" i="1"/>
  <c r="AG11" i="1" s="1"/>
  <c r="AE7" i="1"/>
  <c r="AG7" i="1" s="1"/>
  <c r="AE6" i="1"/>
  <c r="AG6" i="1" s="1"/>
  <c r="AE9" i="1"/>
  <c r="AG9" i="1" s="1"/>
  <c r="Q19" i="1"/>
  <c r="U9" i="1"/>
  <c r="S8" i="1"/>
  <c r="U8" i="1"/>
  <c r="S11" i="1"/>
  <c r="U11" i="1"/>
  <c r="U10" i="1"/>
  <c r="Z6" i="1" l="1"/>
  <c r="Z9" i="1"/>
  <c r="Z8" i="1"/>
  <c r="Z10" i="1"/>
  <c r="Z11" i="1"/>
  <c r="U19" i="1"/>
  <c r="S19" i="1"/>
  <c r="Z7" i="1"/>
  <c r="Z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</author>
  </authors>
  <commentList>
    <comment ref="G12" authorId="0" shapeId="0" xr:uid="{25D67232-5819-480A-AEC7-38D56958C6B9}">
      <text>
        <r>
          <rPr>
            <b/>
            <sz val="9"/>
            <color indexed="81"/>
            <rFont val="Tahoma"/>
            <family val="2"/>
          </rPr>
          <t>thomas:</t>
        </r>
        <r>
          <rPr>
            <sz val="9"/>
            <color indexed="81"/>
            <rFont val="Tahoma"/>
            <family val="2"/>
          </rPr>
          <t xml:space="preserve">
seharusnya masih 2
bulan juli juga salah
masuk korek gaji september</t>
        </r>
      </text>
    </comment>
  </commentList>
</comments>
</file>

<file path=xl/sharedStrings.xml><?xml version="1.0" encoding="utf-8"?>
<sst xmlns="http://schemas.openxmlformats.org/spreadsheetml/2006/main" count="212" uniqueCount="75">
  <si>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</si>
  <si>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</si>
  <si>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</si>
  <si>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</si>
  <si>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</si>
  <si>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</si>
  <si>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</si>
  <si>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</si>
  <si>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</si>
  <si>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</si>
  <si>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</si>
  <si>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</si>
  <si>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</si>
  <si>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</si>
  <si>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</si>
  <si>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</si>
  <si>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</si>
  <si>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</si>
  <si>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</si>
  <si>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</si>
  <si>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</si>
  <si>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</si>
  <si>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Ali</t>
  </si>
  <si>
    <t>ok</t>
  </si>
  <si>
    <t>Ardian</t>
  </si>
  <si>
    <t>percobaan</t>
  </si>
  <si>
    <t>Yudha</t>
  </si>
  <si>
    <t>Henbediona</t>
  </si>
  <si>
    <t>Anita</t>
  </si>
  <si>
    <t>Reza</t>
  </si>
  <si>
    <t>Ridwan</t>
  </si>
  <si>
    <t>Rini</t>
  </si>
  <si>
    <t>Rizal</t>
  </si>
  <si>
    <t>faktor penambah gaji</t>
  </si>
  <si>
    <t>total jam kerja 1bulan normal</t>
  </si>
  <si>
    <t>Arif</t>
  </si>
  <si>
    <t>Haris</t>
  </si>
  <si>
    <t>bo</t>
  </si>
  <si>
    <t>warnet</t>
  </si>
  <si>
    <t>total jam tutup karena efisiensi</t>
  </si>
  <si>
    <t>Total jam kerja efektif</t>
  </si>
  <si>
    <t>total jam kerja</t>
  </si>
  <si>
    <t xml:space="preserve">shift </t>
  </si>
  <si>
    <t>satu</t>
  </si>
  <si>
    <t>dua-tiga</t>
  </si>
  <si>
    <t>devaluasi M2</t>
  </si>
  <si>
    <t>jml hari pada bulan</t>
  </si>
  <si>
    <t>jml outlet</t>
  </si>
  <si>
    <t>outlet aktif</t>
  </si>
  <si>
    <t>Iman</t>
  </si>
  <si>
    <t>-</t>
  </si>
  <si>
    <t>pelatihan</t>
  </si>
  <si>
    <t>meeting</t>
  </si>
  <si>
    <t>+</t>
  </si>
  <si>
    <t>Ajeng</t>
  </si>
  <si>
    <t>basik jam</t>
  </si>
  <si>
    <t>basik hari</t>
  </si>
  <si>
    <t>gc</t>
  </si>
  <si>
    <t>peatihan</t>
  </si>
  <si>
    <t>no</t>
  </si>
  <si>
    <t>1</t>
  </si>
  <si>
    <t>2-3</t>
  </si>
  <si>
    <t>nilai shift 1</t>
  </si>
  <si>
    <t>fix total</t>
  </si>
  <si>
    <t>Erwin</t>
  </si>
  <si>
    <t>Ronald</t>
  </si>
  <si>
    <t>mepet</t>
  </si>
  <si>
    <t>tambahan untk jam shift lebaran</t>
  </si>
  <si>
    <t>Gilang</t>
  </si>
  <si>
    <t>Yulika</t>
  </si>
  <si>
    <t>note</t>
  </si>
  <si>
    <t>Hafiz</t>
  </si>
  <si>
    <t>Alfreda</t>
  </si>
  <si>
    <t>selisih jam kerja (BO/pendampingan)</t>
  </si>
  <si>
    <t>rapel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</si>
</sst>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mmmm\-yyyy"/>
    <numFmt numFmtId="166" formatCode="dd"/>
    <numFmt numFmtId="167" formatCode="mmmm\ yyyy"/>
    <numFmt numFmtId="168" formatCode="#,##0;[Red]\(#,##0\)"/>
    <numFmt numFmtId="169" formatCode="_(* #,##0_);_(* \(#,##0\);_(* &quot;-&quot;??_);_(@_)"/>
  </numFmts>
  <fonts count="29" x14ac:knownFonts="1">
    <font>
      <sz val="11"/>
      <name val="Calibri"/>
    </font>
    <font>
      <sz val="12"/>
      <color rgb="FF000000"/>
      <name val="Calibri"/>
      <family val="2"/>
    </font>
    <font>
      <sz val="12"/>
      <color rgb="FF1F3964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435369"/>
      <name val="Arial"/>
      <family val="2"/>
    </font>
    <font>
      <b/>
      <sz val="12"/>
      <color rgb="FF43536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20"/>
      <color theme="1"/>
      <name val="Calibri"/>
      <family val="2"/>
    </font>
    <font>
      <sz val="12"/>
      <color rgb="FF1F3964"/>
      <name val="Arial"/>
      <family val="2"/>
    </font>
    <font>
      <sz val="10"/>
      <color rgb="FF002060"/>
      <name val="Calibri"/>
      <family val="2"/>
      <scheme val="minor"/>
    </font>
    <font>
      <sz val="12"/>
      <color theme="1"/>
      <name val="Arial"/>
      <family val="2"/>
    </font>
    <font>
      <sz val="11"/>
      <color theme="0" tint="-0.34998626667073579"/>
      <name val="Calibri"/>
      <family val="2"/>
    </font>
    <font>
      <sz val="8"/>
      <color rgb="FF1F3964"/>
      <name val="Arial"/>
      <family val="2"/>
    </font>
    <font>
      <sz val="8"/>
      <name val="Calibri"/>
      <family val="2"/>
    </font>
    <font>
      <sz val="12"/>
      <color theme="4" tint="-0.499984740745262"/>
      <name val="Arial"/>
      <family val="2"/>
    </font>
    <font>
      <sz val="12"/>
      <color theme="3" tint="-0.249977111117893"/>
      <name val="Arial"/>
      <family val="2"/>
    </font>
    <font>
      <sz val="11"/>
      <name val="Calibri"/>
      <family val="2"/>
    </font>
    <font>
      <sz val="11"/>
      <color rgb="FFFFFF00"/>
      <name val="Calibri"/>
      <family val="2"/>
    </font>
    <font>
      <sz val="9"/>
      <color rgb="FF000000"/>
      <name val="Calibri"/>
      <family val="2"/>
    </font>
    <font>
      <sz val="11"/>
      <color theme="3"/>
      <name val="Calibri"/>
      <family val="2"/>
    </font>
    <font>
      <b/>
      <sz val="12"/>
      <name val="Arial"/>
      <family val="2"/>
    </font>
    <font>
      <sz val="12"/>
      <name val="Calibri"/>
      <family val="2"/>
    </font>
    <font>
      <b/>
      <sz val="12"/>
      <color theme="4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protection locked="0"/>
    </xf>
    <xf numFmtId="164" fontId="9" fillId="0" borderId="0" applyFont="0" applyFill="0" applyBorder="0" applyAlignment="0" applyProtection="0"/>
    <xf numFmtId="0" fontId="9" fillId="0" borderId="0">
      <alignment vertical="center"/>
    </xf>
    <xf numFmtId="0" fontId="3" fillId="0" borderId="0">
      <protection locked="0"/>
    </xf>
    <xf numFmtId="43" fontId="20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1" applyFont="1" applyAlignment="1" applyProtection="1"/>
    <xf numFmtId="0" fontId="5" fillId="0" borderId="0" xfId="1" applyFont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5" fillId="0" borderId="0" xfId="1" applyFont="1" applyFill="1" applyAlignment="1" applyProtection="1"/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1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2" applyFont="1" applyFill="1" applyBorder="1" applyAlignment="1">
      <alignment horizontal="right" vertical="center"/>
    </xf>
    <xf numFmtId="164" fontId="2" fillId="0" borderId="2" xfId="2" applyFont="1" applyFill="1" applyBorder="1" applyAlignment="1">
      <alignment horizontal="right" vertical="center"/>
    </xf>
    <xf numFmtId="164" fontId="5" fillId="0" borderId="0" xfId="2" applyFont="1" applyFill="1" applyAlignment="1" applyProtection="1">
      <alignment horizontal="right" vertical="center"/>
    </xf>
    <xf numFmtId="164" fontId="6" fillId="0" borderId="0" xfId="2" applyFont="1" applyFill="1" applyAlignment="1" applyProtection="1">
      <alignment horizontal="right" vertical="center"/>
    </xf>
    <xf numFmtId="0" fontId="1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0" xfId="0" applyFont="1" applyAlignment="1"/>
    <xf numFmtId="0" fontId="9" fillId="0" borderId="0" xfId="0" applyFont="1">
      <alignment vertical="center"/>
    </xf>
    <xf numFmtId="14" fontId="1" fillId="0" borderId="0" xfId="0" applyNumberFormat="1" applyFont="1" applyAlignment="1"/>
    <xf numFmtId="166" fontId="1" fillId="0" borderId="0" xfId="0" applyNumberFormat="1" applyFont="1" applyAlignment="1"/>
    <xf numFmtId="167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64" fontId="0" fillId="0" borderId="0" xfId="2" applyFont="1" applyAlignment="1">
      <alignment vertical="center"/>
    </xf>
    <xf numFmtId="0" fontId="0" fillId="2" borderId="0" xfId="0" applyFill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164" fontId="0" fillId="2" borderId="0" xfId="2" applyFont="1" applyFill="1" applyAlignment="1">
      <alignment vertical="center"/>
    </xf>
    <xf numFmtId="164" fontId="0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center" vertical="center" wrapText="1"/>
    </xf>
    <xf numFmtId="164" fontId="16" fillId="3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center" vertical="center" wrapText="1"/>
    </xf>
    <xf numFmtId="164" fontId="16" fillId="0" borderId="1" xfId="2" applyFont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/>
    </xf>
    <xf numFmtId="164" fontId="16" fillId="0" borderId="1" xfId="2" applyFont="1" applyFill="1" applyBorder="1" applyAlignment="1">
      <alignment horizontal="left" vertical="center" wrapText="1"/>
    </xf>
    <xf numFmtId="164" fontId="16" fillId="0" borderId="1" xfId="2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center" vertical="center" wrapText="1"/>
    </xf>
    <xf numFmtId="164" fontId="16" fillId="6" borderId="1" xfId="2" applyFont="1" applyFill="1" applyBorder="1" applyAlignment="1">
      <alignment horizontal="left" vertical="center" wrapText="1"/>
    </xf>
    <xf numFmtId="164" fontId="16" fillId="6" borderId="1" xfId="2" applyFont="1" applyFill="1" applyBorder="1" applyAlignment="1">
      <alignment horizontal="left" vertical="center"/>
    </xf>
    <xf numFmtId="164" fontId="16" fillId="6" borderId="1" xfId="2" applyFont="1" applyFill="1" applyBorder="1" applyAlignment="1">
      <alignment horizontal="center" vertical="center"/>
    </xf>
    <xf numFmtId="164" fontId="16" fillId="6" borderId="1" xfId="2" applyFont="1" applyFill="1" applyBorder="1" applyAlignment="1">
      <alignment horizontal="right" vertical="center" wrapText="1"/>
    </xf>
    <xf numFmtId="164" fontId="16" fillId="6" borderId="1" xfId="2" applyFont="1" applyFill="1" applyBorder="1" applyAlignment="1">
      <alignment horizontal="right" vertical="center"/>
    </xf>
    <xf numFmtId="164" fontId="16" fillId="0" borderId="1" xfId="2" quotePrefix="1" applyFont="1" applyFill="1" applyBorder="1" applyAlignment="1">
      <alignment horizontal="center" vertical="center"/>
    </xf>
    <xf numFmtId="164" fontId="16" fillId="0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left" vertical="center"/>
    </xf>
    <xf numFmtId="164" fontId="16" fillId="2" borderId="1" xfId="2" applyFont="1" applyFill="1" applyBorder="1" applyAlignment="1">
      <alignment horizontal="center" vertical="center"/>
    </xf>
    <xf numFmtId="164" fontId="16" fillId="2" borderId="1" xfId="2" applyFont="1" applyFill="1" applyBorder="1" applyAlignment="1">
      <alignment horizontal="right" vertical="center"/>
    </xf>
    <xf numFmtId="164" fontId="16" fillId="2" borderId="1" xfId="2" applyFont="1" applyFill="1" applyBorder="1" applyAlignment="1">
      <alignment horizontal="right" vertical="center" wrapText="1"/>
    </xf>
    <xf numFmtId="164" fontId="16" fillId="2" borderId="1" xfId="2" applyFont="1" applyFill="1" applyBorder="1" applyAlignment="1">
      <alignment horizontal="left" vertical="center" wrapText="1"/>
    </xf>
    <xf numFmtId="164" fontId="17" fillId="0" borderId="1" xfId="2" applyFont="1" applyBorder="1" applyAlignment="1">
      <alignment vertical="center"/>
    </xf>
    <xf numFmtId="164" fontId="16" fillId="3" borderId="1" xfId="2" applyFont="1" applyFill="1" applyBorder="1" applyAlignment="1">
      <alignment horizontal="left" vertical="center"/>
    </xf>
    <xf numFmtId="164" fontId="16" fillId="3" borderId="1" xfId="2" applyFont="1" applyFill="1" applyBorder="1" applyAlignment="1">
      <alignment horizontal="right" vertical="center"/>
    </xf>
    <xf numFmtId="164" fontId="9" fillId="0" borderId="0" xfId="2" quotePrefix="1" applyFont="1" applyAlignment="1">
      <alignment vertical="center"/>
    </xf>
    <xf numFmtId="164" fontId="9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8" fontId="5" fillId="0" borderId="0" xfId="2" applyNumberFormat="1" applyFont="1" applyFill="1" applyAlignment="1" applyProtection="1">
      <alignment horizontal="right"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/>
    </xf>
    <xf numFmtId="164" fontId="2" fillId="2" borderId="1" xfId="2" applyFont="1" applyFill="1" applyBorder="1" applyAlignment="1">
      <alignment horizontal="right" vertical="center" wrapText="1"/>
    </xf>
    <xf numFmtId="164" fontId="0" fillId="0" borderId="0" xfId="2" applyFont="1" applyFill="1" applyAlignment="1">
      <alignment vertical="center"/>
    </xf>
    <xf numFmtId="0" fontId="0" fillId="0" borderId="1" xfId="0" applyFill="1" applyBorder="1" applyAlignment="1">
      <alignment vertical="center"/>
    </xf>
    <xf numFmtId="164" fontId="8" fillId="0" borderId="1" xfId="2" applyFont="1" applyFill="1" applyBorder="1" applyAlignment="1">
      <alignment horizontal="right" vertical="center" wrapText="1"/>
    </xf>
    <xf numFmtId="164" fontId="18" fillId="0" borderId="1" xfId="2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3" fontId="0" fillId="0" borderId="0" xfId="0" applyNumberFormat="1">
      <alignment vertical="center"/>
    </xf>
    <xf numFmtId="37" fontId="2" fillId="2" borderId="1" xfId="2" applyNumberFormat="1" applyFont="1" applyFill="1" applyBorder="1" applyAlignment="1">
      <alignment horizontal="right" vertical="center" wrapText="1"/>
    </xf>
    <xf numFmtId="37" fontId="2" fillId="0" borderId="1" xfId="2" applyNumberFormat="1" applyFont="1" applyFill="1" applyBorder="1" applyAlignment="1">
      <alignment horizontal="right" vertical="center" wrapText="1"/>
    </xf>
    <xf numFmtId="37" fontId="2" fillId="3" borderId="1" xfId="2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2" applyFont="1" applyFill="1" applyBorder="1" applyAlignment="1">
      <alignment horizontal="right" vertical="center" wrapText="1"/>
    </xf>
    <xf numFmtId="0" fontId="2" fillId="0" borderId="1" xfId="3" quotePrefix="1" applyFont="1" applyFill="1" applyBorder="1" applyAlignment="1">
      <alignment horizontal="left" vertical="center" wrapText="1"/>
    </xf>
    <xf numFmtId="0" fontId="21" fillId="7" borderId="0" xfId="0" applyFont="1" applyFill="1">
      <alignment vertical="center"/>
    </xf>
    <xf numFmtId="169" fontId="22" fillId="0" borderId="0" xfId="5" applyNumberFormat="1" applyFont="1" applyAlignment="1"/>
    <xf numFmtId="169" fontId="1" fillId="0" borderId="0" xfId="0" applyNumberFormat="1" applyFont="1" applyAlignment="1"/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164" fontId="24" fillId="0" borderId="1" xfId="2" applyFont="1" applyFill="1" applyBorder="1" applyAlignment="1">
      <alignment horizontal="right" vertical="center" wrapText="1"/>
    </xf>
    <xf numFmtId="164" fontId="24" fillId="2" borderId="1" xfId="2" applyFont="1" applyFill="1" applyBorder="1" applyAlignment="1">
      <alignment horizontal="right" vertical="center" wrapText="1"/>
    </xf>
    <xf numFmtId="0" fontId="25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37" fontId="8" fillId="0" borderId="1" xfId="2" applyNumberFormat="1" applyFont="1" applyFill="1" applyBorder="1" applyAlignment="1">
      <alignment horizontal="right" vertical="center" wrapText="1"/>
    </xf>
    <xf numFmtId="0" fontId="9" fillId="0" borderId="0" xfId="0" applyFont="1" applyFill="1">
      <alignment vertical="center"/>
    </xf>
    <xf numFmtId="164" fontId="9" fillId="0" borderId="0" xfId="2" applyFont="1" applyFill="1" applyAlignment="1">
      <alignment vertical="center"/>
    </xf>
    <xf numFmtId="0" fontId="8" fillId="0" borderId="0" xfId="0" applyFont="1" applyFill="1" applyAlignment="1">
      <alignment horizontal="left"/>
    </xf>
    <xf numFmtId="164" fontId="26" fillId="0" borderId="1" xfId="2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14" fillId="5" borderId="0" xfId="1" applyFont="1" applyFill="1" applyAlignment="1" applyProtection="1">
      <alignment horizontal="right" vertical="center"/>
    </xf>
    <xf numFmtId="0" fontId="14" fillId="4" borderId="0" xfId="1" applyFont="1" applyFill="1" applyAlignment="1" applyProtection="1">
      <alignment horizontal="right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65" fontId="11" fillId="0" borderId="4" xfId="0" applyNumberFormat="1" applyFont="1" applyBorder="1" applyAlignment="1">
      <alignment horizontal="left"/>
    </xf>
    <xf numFmtId="22" fontId="13" fillId="0" borderId="2" xfId="0" applyNumberFormat="1" applyFont="1" applyBorder="1" applyAlignment="1">
      <alignment horizontal="center" vertical="center"/>
    </xf>
    <xf numFmtId="164" fontId="2" fillId="6" borderId="0" xfId="2" applyFont="1" applyFill="1" applyAlignment="1">
      <alignment horizontal="right" vertical="center"/>
    </xf>
  </cellXfs>
  <cellStyles count="6">
    <cellStyle name="Comma" xfId="5" builtinId="3"/>
    <cellStyle name="Comma [0]" xfId="2" builtinId="6"/>
    <cellStyle name="Normal" xfId="0" builtinId="0"/>
    <cellStyle name="Normal 2" xfId="1" xr:uid="{00000000-0005-0000-0000-000002000000}"/>
    <cellStyle name="Normal 2 2" xfId="4" xr:uid="{963117AA-EF28-4417-9CE4-79C758111505}"/>
    <cellStyle name="Normal 3" xfId="3" xr:uid="{35993C0F-0087-4F9B-87A0-30A3A69B45F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6"/>
  <sheetViews>
    <sheetView tabSelected="1" topLeftCell="E5" zoomScale="70" zoomScaleNormal="70" workbookViewId="0">
      <selection activeCell="U6" sqref="U6"/>
    </sheetView>
  </sheetViews>
  <sheetFormatPr defaultColWidth="10" defaultRowHeight="15" x14ac:dyDescent="0.25"/>
  <cols>
    <col min="2" max="2" width="4.7109375" customWidth="1"/>
    <col min="3" max="3" width="15.140625" customWidth="1"/>
    <col min="4" max="4" width="13.28515625" customWidth="1"/>
    <col min="5" max="5" width="11.42578125" customWidth="1"/>
    <col min="6" max="6" width="12.85546875" bestFit="1" customWidth="1"/>
    <col min="7" max="7" width="8.42578125" customWidth="1"/>
    <col min="9" max="9" width="11.140625" bestFit="1" customWidth="1"/>
    <col min="10" max="10" width="7.85546875" customWidth="1"/>
    <col min="15" max="15" width="9.85546875" customWidth="1"/>
    <col min="16" max="16" width="10.85546875" customWidth="1"/>
    <col min="17" max="17" width="14" customWidth="1"/>
    <col min="18" max="18" width="11.7109375" customWidth="1"/>
    <col min="19" max="19" width="14.42578125" bestFit="1" customWidth="1"/>
    <col min="20" max="21" width="13.28515625" bestFit="1" customWidth="1"/>
    <col min="22" max="22" width="12.7109375" customWidth="1"/>
    <col min="23" max="23" width="10.7109375" customWidth="1"/>
    <col min="24" max="24" width="13.28515625" bestFit="1" customWidth="1"/>
    <col min="25" max="25" width="14.42578125" bestFit="1" customWidth="1"/>
    <col min="26" max="26" width="16.57031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2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42" ht="26.25" x14ac:dyDescent="0.4">
      <c r="A2" s="26"/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42" ht="26.25" x14ac:dyDescent="0.4">
      <c r="A3" s="26"/>
      <c r="B3" s="152">
        <v>45505</v>
      </c>
      <c r="C3" s="152"/>
      <c r="D3" s="152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42" ht="45" x14ac:dyDescent="0.25">
      <c r="A4" s="1"/>
      <c r="B4" s="28" t="s">
        <v>1</v>
      </c>
      <c r="C4" s="28" t="s">
        <v>2</v>
      </c>
      <c r="D4" s="29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12</v>
      </c>
      <c r="N4" s="28" t="s">
        <v>13</v>
      </c>
      <c r="O4" s="28" t="s">
        <v>14</v>
      </c>
      <c r="P4" s="28" t="s">
        <v>15</v>
      </c>
      <c r="Q4" s="28" t="s">
        <v>16</v>
      </c>
      <c r="R4" s="28" t="s">
        <v>4</v>
      </c>
      <c r="S4" s="28" t="s">
        <v>5</v>
      </c>
      <c r="T4" s="28" t="s">
        <v>6</v>
      </c>
      <c r="U4" s="28" t="s">
        <v>17</v>
      </c>
      <c r="V4" s="28" t="s">
        <v>18</v>
      </c>
      <c r="W4" s="28" t="s">
        <v>74</v>
      </c>
      <c r="X4" s="28" t="s">
        <v>19</v>
      </c>
      <c r="Y4" s="28" t="s">
        <v>20</v>
      </c>
      <c r="Z4" s="28" t="s">
        <v>21</v>
      </c>
      <c r="AE4" s="31" t="s">
        <v>21</v>
      </c>
      <c r="AF4" s="32" t="s">
        <v>37</v>
      </c>
      <c r="AG4" s="32" t="s">
        <v>38</v>
      </c>
      <c r="AH4" s="33" t="s">
        <v>21</v>
      </c>
      <c r="AL4" s="44" t="s">
        <v>63</v>
      </c>
    </row>
    <row r="5" spans="1:42" s="85" customFormat="1" ht="26.1" customHeight="1" x14ac:dyDescent="0.25">
      <c r="A5" s="95"/>
      <c r="B5" s="2">
        <v>1</v>
      </c>
      <c r="C5" s="112" t="s">
        <v>68</v>
      </c>
      <c r="D5" s="112" t="s">
        <v>25</v>
      </c>
      <c r="E5" s="110"/>
      <c r="F5" s="110"/>
      <c r="G5" s="110"/>
      <c r="H5" s="110"/>
      <c r="I5" s="111"/>
      <c r="J5" s="110"/>
      <c r="K5" s="110"/>
      <c r="L5" s="116">
        <v>89</v>
      </c>
      <c r="M5" s="116">
        <v>13</v>
      </c>
      <c r="N5" s="116">
        <v>101</v>
      </c>
      <c r="O5" s="116"/>
      <c r="P5" s="132">
        <f t="shared" ref="P5:P18" si="0">SUM(L5:O5)</f>
        <v>203</v>
      </c>
      <c r="Q5" s="103">
        <f>((data!$A$3/8)*L5)+((data!$B$3/8)*(M5+N5+O5))+(P5*$E$25)</f>
        <v>873875</v>
      </c>
      <c r="R5" s="103">
        <v>50000</v>
      </c>
      <c r="S5" s="125">
        <f t="shared" ref="S5:S6" si="1">((P5/8)*1000)</f>
        <v>25375</v>
      </c>
      <c r="T5" s="103">
        <f t="shared" ref="T5:T7" si="2">IF(AND(G5&gt;0,H5=""),50000,IF(AND(G5&gt;0,H5="ok"),G5*50000,0))</f>
        <v>0</v>
      </c>
      <c r="U5" s="103">
        <f>IF(I5="+",P5/8*3000,IF(I5="-",0,P5/8*2000))</f>
        <v>50750</v>
      </c>
      <c r="V5" s="100">
        <f t="shared" ref="V5:V7" si="3">J5*-12500</f>
        <v>0</v>
      </c>
      <c r="W5" s="103"/>
      <c r="X5" s="103"/>
      <c r="Y5" s="103">
        <v>7000</v>
      </c>
      <c r="Z5" s="103">
        <f t="shared" ref="Z5:Z16" si="4">CEILING(SUM(Q5:Y5),500)</f>
        <v>1007000</v>
      </c>
      <c r="AE5" s="85">
        <f t="shared" ref="AE5:AE16" si="5">P5/8</f>
        <v>25.375</v>
      </c>
      <c r="AF5" s="85">
        <f t="shared" ref="AF5:AF15" si="6">O5/8</f>
        <v>0</v>
      </c>
      <c r="AG5" s="85">
        <f t="shared" ref="AG5:AG11" si="7">AE5-AF5</f>
        <v>25.375</v>
      </c>
      <c r="AL5" s="89">
        <v>899500</v>
      </c>
      <c r="AM5" s="85" t="str">
        <f>C5</f>
        <v>Gilang</v>
      </c>
      <c r="AO5" s="13"/>
      <c r="AP5" s="85">
        <f>AO5*AN5</f>
        <v>0</v>
      </c>
    </row>
    <row r="6" spans="1:42" s="85" customFormat="1" ht="26.1" customHeight="1" x14ac:dyDescent="0.25">
      <c r="A6" s="95"/>
      <c r="B6" s="2">
        <v>2</v>
      </c>
      <c r="C6" s="122" t="s">
        <v>30</v>
      </c>
      <c r="D6" s="123" t="s">
        <v>25</v>
      </c>
      <c r="E6" s="124"/>
      <c r="F6" s="124"/>
      <c r="G6" s="124"/>
      <c r="H6" s="124"/>
      <c r="I6" s="124" t="s">
        <v>53</v>
      </c>
      <c r="J6" s="121"/>
      <c r="K6" s="124"/>
      <c r="L6" s="126">
        <v>223</v>
      </c>
      <c r="M6" s="126">
        <v>1</v>
      </c>
      <c r="N6" s="126">
        <v>5</v>
      </c>
      <c r="O6" s="127"/>
      <c r="P6" s="132">
        <f t="shared" si="0"/>
        <v>229</v>
      </c>
      <c r="Q6" s="103">
        <f>((data!$A$3/8)*L6)+((data!$B$3/8)*(M6+N6+O6))+(P6*$E$25)</f>
        <v>1001125</v>
      </c>
      <c r="R6" s="103">
        <v>50000</v>
      </c>
      <c r="S6" s="125">
        <f t="shared" si="1"/>
        <v>28625</v>
      </c>
      <c r="T6" s="103">
        <f t="shared" si="2"/>
        <v>0</v>
      </c>
      <c r="U6" s="103">
        <f>IF(I6="+",P6/8*3000,IF(I6="-",0,P6/8*2000))</f>
        <v>85875</v>
      </c>
      <c r="V6" s="100">
        <f t="shared" si="3"/>
        <v>0</v>
      </c>
      <c r="W6" s="103"/>
      <c r="X6" s="103"/>
      <c r="Y6" s="103">
        <v>2500</v>
      </c>
      <c r="Z6" s="103">
        <f t="shared" si="4"/>
        <v>1168500</v>
      </c>
      <c r="AE6" s="85">
        <f t="shared" si="5"/>
        <v>28.625</v>
      </c>
      <c r="AF6" s="85">
        <f t="shared" si="6"/>
        <v>0</v>
      </c>
      <c r="AG6" s="85">
        <f t="shared" si="7"/>
        <v>28.625</v>
      </c>
      <c r="AL6" s="89">
        <v>1077000</v>
      </c>
      <c r="AM6" s="85" t="str">
        <f t="shared" ref="AM6:AM18" si="8">C6</f>
        <v>Ridwan</v>
      </c>
      <c r="AO6" s="13"/>
      <c r="AP6" s="85">
        <f t="shared" ref="AP6:AP17" si="9">AO6*AN6</f>
        <v>0</v>
      </c>
    </row>
    <row r="7" spans="1:42" s="85" customFormat="1" ht="26.1" customHeight="1" x14ac:dyDescent="0.25">
      <c r="A7" s="95"/>
      <c r="B7" s="2">
        <v>3</v>
      </c>
      <c r="C7" s="119" t="s">
        <v>64</v>
      </c>
      <c r="D7" s="112" t="s">
        <v>3</v>
      </c>
      <c r="E7" s="111" t="s">
        <v>52</v>
      </c>
      <c r="F7" s="111" t="s">
        <v>66</v>
      </c>
      <c r="G7" s="111">
        <v>1</v>
      </c>
      <c r="H7" s="111"/>
      <c r="I7" s="111" t="s">
        <v>53</v>
      </c>
      <c r="J7" s="110"/>
      <c r="K7" s="111"/>
      <c r="L7" s="117">
        <v>83</v>
      </c>
      <c r="M7" s="117">
        <v>68</v>
      </c>
      <c r="N7" s="117">
        <v>112</v>
      </c>
      <c r="O7" s="146">
        <v>8</v>
      </c>
      <c r="P7" s="132">
        <f t="shared" si="0"/>
        <v>271</v>
      </c>
      <c r="Q7" s="103">
        <f>((data!$A$3/8)*L7)+((data!$B$3/8)*(M7+N7+O7))+(P7*$E$25)</f>
        <v>1162125</v>
      </c>
      <c r="R7" s="103">
        <f t="shared" ref="R7:R8" si="10">IF(D7="Percobaan",0,IF(AND(E7="",G7&gt;0,H7="ok"),100000,IF(AND(E7="",G7&gt;0,H7=""),50000,IF(AND(E7=""),100000,0))))</f>
        <v>0</v>
      </c>
      <c r="S7" s="125">
        <v>0</v>
      </c>
      <c r="T7" s="103">
        <f t="shared" si="2"/>
        <v>50000</v>
      </c>
      <c r="U7" s="103">
        <f>IF(I7="+",P7/8*3000,IF(I7="-",0,P7/8*2000))</f>
        <v>101625</v>
      </c>
      <c r="V7" s="100">
        <f t="shared" si="3"/>
        <v>0</v>
      </c>
      <c r="W7" s="103"/>
      <c r="X7" s="103">
        <f t="shared" ref="X7" si="11">IF(K7="ok",50000+AB7,0+AB7)</f>
        <v>0</v>
      </c>
      <c r="Y7" s="103">
        <v>8000</v>
      </c>
      <c r="Z7" s="103">
        <f t="shared" si="4"/>
        <v>1322000</v>
      </c>
      <c r="AE7" s="85">
        <f t="shared" si="5"/>
        <v>33.875</v>
      </c>
      <c r="AF7" s="85">
        <f t="shared" si="6"/>
        <v>1</v>
      </c>
      <c r="AG7" s="85">
        <f t="shared" si="7"/>
        <v>32.875</v>
      </c>
      <c r="AL7" s="89">
        <v>1314000</v>
      </c>
      <c r="AM7" s="85" t="str">
        <f t="shared" si="8"/>
        <v>Erwin</v>
      </c>
      <c r="AO7" s="13"/>
      <c r="AP7" s="85">
        <f t="shared" si="9"/>
        <v>0</v>
      </c>
    </row>
    <row r="8" spans="1:42" s="85" customFormat="1" ht="26.1" customHeight="1" x14ac:dyDescent="0.25">
      <c r="A8" s="95"/>
      <c r="B8" s="2">
        <v>4</v>
      </c>
      <c r="C8" s="112" t="s">
        <v>69</v>
      </c>
      <c r="D8" s="112" t="s">
        <v>3</v>
      </c>
      <c r="E8" s="110"/>
      <c r="F8" s="111"/>
      <c r="G8" s="111"/>
      <c r="H8" s="111"/>
      <c r="I8" s="111" t="s">
        <v>53</v>
      </c>
      <c r="J8" s="110"/>
      <c r="K8" s="111"/>
      <c r="L8" s="117">
        <v>7</v>
      </c>
      <c r="M8" s="117">
        <v>132</v>
      </c>
      <c r="N8" s="117">
        <v>80</v>
      </c>
      <c r="O8" s="117"/>
      <c r="P8" s="132">
        <f>SUM(L8:O8)</f>
        <v>219</v>
      </c>
      <c r="Q8" s="103">
        <f>((data!$A$3/8)*L8)+((data!$B$3/8)*(M8+N8+O8))+(P8*$E$25)</f>
        <v>931625</v>
      </c>
      <c r="R8" s="125">
        <f t="shared" si="10"/>
        <v>100000</v>
      </c>
      <c r="S8" s="103">
        <f t="shared" ref="S8:S17" si="12">((P8/8)*1000)</f>
        <v>27375</v>
      </c>
      <c r="T8" s="103">
        <f t="shared" ref="T8:T16" si="13">IF(AND(G8&gt;0,H8=""),50000,IF(AND(G8&gt;0,H8="ok"),G8*50000,0))</f>
        <v>0</v>
      </c>
      <c r="U8" s="103">
        <f>IF(I8="+",P8/8*3000,IF(I8="-",0,P8/8*2000))</f>
        <v>82125</v>
      </c>
      <c r="V8" s="100">
        <f t="shared" ref="V8:V16" si="14">J8*-12500</f>
        <v>0</v>
      </c>
      <c r="W8" s="103">
        <v>50000</v>
      </c>
      <c r="X8" s="103"/>
      <c r="Y8" s="103">
        <v>1500</v>
      </c>
      <c r="Z8" s="103">
        <f t="shared" si="4"/>
        <v>1193000</v>
      </c>
      <c r="AE8" s="85">
        <f t="shared" si="5"/>
        <v>27.375</v>
      </c>
      <c r="AF8" s="85">
        <f t="shared" si="6"/>
        <v>0</v>
      </c>
      <c r="AG8" s="85">
        <f t="shared" si="7"/>
        <v>27.375</v>
      </c>
      <c r="AL8" s="89">
        <v>1141500</v>
      </c>
      <c r="AM8" s="85" t="str">
        <f t="shared" ref="AM8:AM15" si="15">C8</f>
        <v>Yulika</v>
      </c>
      <c r="AO8" s="13"/>
      <c r="AP8" s="85">
        <f t="shared" si="9"/>
        <v>0</v>
      </c>
    </row>
    <row r="9" spans="1:42" s="51" customFormat="1" ht="26.1" customHeight="1" x14ac:dyDescent="0.25">
      <c r="A9" s="96"/>
      <c r="B9" s="102">
        <v>5</v>
      </c>
      <c r="C9" s="115" t="s">
        <v>26</v>
      </c>
      <c r="D9" s="115" t="s">
        <v>3</v>
      </c>
      <c r="E9" s="114" t="s">
        <v>52</v>
      </c>
      <c r="F9" s="113"/>
      <c r="G9" s="113">
        <v>3</v>
      </c>
      <c r="H9" s="113" t="s">
        <v>23</v>
      </c>
      <c r="I9" s="113" t="s">
        <v>50</v>
      </c>
      <c r="J9" s="114"/>
      <c r="K9" s="113" t="s">
        <v>23</v>
      </c>
      <c r="L9" s="118">
        <v>16</v>
      </c>
      <c r="M9" s="118">
        <v>8</v>
      </c>
      <c r="N9" s="118">
        <v>72</v>
      </c>
      <c r="O9" s="118">
        <v>0</v>
      </c>
      <c r="P9" s="133">
        <f t="shared" si="0"/>
        <v>96</v>
      </c>
      <c r="Q9" s="88">
        <f>((data!$A$3/8)*L9)+((data!$B$3/8)*(M9+N9+O9))+(P9*$E$25)</f>
        <v>410000</v>
      </c>
      <c r="R9" s="88">
        <f t="shared" ref="R9:R15" si="16">IF(D9="Percobaan",0,IF(AND(E9="",G9&gt;0,H9="ok"),100000,IF(AND(E9="",G9&gt;0,H9=""),50000,IF(AND(E9=""),100000,0))))</f>
        <v>0</v>
      </c>
      <c r="S9" s="125">
        <f t="shared" si="12"/>
        <v>12000</v>
      </c>
      <c r="T9" s="88">
        <f t="shared" si="13"/>
        <v>150000</v>
      </c>
      <c r="U9" s="88">
        <f t="shared" ref="U9:U15" si="17">IF(OR(D9="Percobaan",D9=""),0,IF(I9="+",P9/8*3000,IF(I9="-",0,P9/8*2000)))</f>
        <v>0</v>
      </c>
      <c r="V9" s="99">
        <f t="shared" si="14"/>
        <v>0</v>
      </c>
      <c r="W9" s="88"/>
      <c r="X9" s="88">
        <f>IF(K9="ok",50000+AB9,0+AB9)</f>
        <v>50000</v>
      </c>
      <c r="Y9" s="88">
        <v>436500</v>
      </c>
      <c r="Z9" s="88">
        <f t="shared" si="4"/>
        <v>1058500</v>
      </c>
      <c r="AE9" s="51">
        <f t="shared" si="5"/>
        <v>12</v>
      </c>
      <c r="AF9" s="51">
        <f t="shared" si="6"/>
        <v>0</v>
      </c>
      <c r="AG9" s="51">
        <f t="shared" si="7"/>
        <v>12</v>
      </c>
      <c r="AL9" s="53">
        <v>1042000</v>
      </c>
      <c r="AM9" s="51" t="str">
        <f t="shared" si="15"/>
        <v>Yudha</v>
      </c>
      <c r="AO9" s="97"/>
      <c r="AP9" s="51">
        <f t="shared" si="9"/>
        <v>0</v>
      </c>
    </row>
    <row r="10" spans="1:42" s="85" customFormat="1" ht="26.1" customHeight="1" x14ac:dyDescent="0.25">
      <c r="A10" s="95"/>
      <c r="B10" s="2">
        <v>6</v>
      </c>
      <c r="C10" s="34" t="s">
        <v>27</v>
      </c>
      <c r="D10" s="4" t="s">
        <v>3</v>
      </c>
      <c r="E10" s="3"/>
      <c r="F10" s="3" t="s">
        <v>66</v>
      </c>
      <c r="G10" s="3">
        <v>4</v>
      </c>
      <c r="H10" s="3" t="s">
        <v>23</v>
      </c>
      <c r="I10" s="3" t="s">
        <v>50</v>
      </c>
      <c r="J10" s="2"/>
      <c r="K10" s="3" t="s">
        <v>23</v>
      </c>
      <c r="L10" s="30">
        <v>0</v>
      </c>
      <c r="M10" s="30">
        <v>144</v>
      </c>
      <c r="N10" s="30">
        <v>8</v>
      </c>
      <c r="O10" s="30"/>
      <c r="P10" s="132">
        <f t="shared" si="0"/>
        <v>152</v>
      </c>
      <c r="Q10" s="103">
        <f>((data!$A$3/8)*L10)+((data!$B$3/8)*(M10+N10+O10))+(P10*$E$25)</f>
        <v>646000</v>
      </c>
      <c r="R10" s="103">
        <f t="shared" si="16"/>
        <v>100000</v>
      </c>
      <c r="S10" s="103">
        <v>0</v>
      </c>
      <c r="T10" s="103">
        <f t="shared" si="13"/>
        <v>200000</v>
      </c>
      <c r="U10" s="103">
        <f t="shared" si="17"/>
        <v>0</v>
      </c>
      <c r="V10" s="100">
        <f t="shared" si="14"/>
        <v>0</v>
      </c>
      <c r="W10" s="103"/>
      <c r="X10" s="103">
        <f>IF(K10="ok",50000+AB10,0+AB10)</f>
        <v>50000</v>
      </c>
      <c r="Y10" s="103">
        <v>5500</v>
      </c>
      <c r="Z10" s="103">
        <f t="shared" si="4"/>
        <v>1001500</v>
      </c>
      <c r="AE10" s="85">
        <f t="shared" si="5"/>
        <v>19</v>
      </c>
      <c r="AF10" s="85">
        <f t="shared" si="6"/>
        <v>0</v>
      </c>
      <c r="AG10" s="85">
        <f t="shared" si="7"/>
        <v>19</v>
      </c>
      <c r="AL10" s="89">
        <v>996000</v>
      </c>
      <c r="AM10" s="85" t="str">
        <f t="shared" si="15"/>
        <v>Henbediona</v>
      </c>
      <c r="AO10" s="13"/>
      <c r="AP10" s="85">
        <f t="shared" si="9"/>
        <v>0</v>
      </c>
    </row>
    <row r="11" spans="1:42" s="85" customFormat="1" ht="26.1" customHeight="1" x14ac:dyDescent="0.25">
      <c r="A11" s="95"/>
      <c r="B11" s="2">
        <v>7</v>
      </c>
      <c r="C11" s="119" t="s">
        <v>29</v>
      </c>
      <c r="D11" s="112" t="s">
        <v>3</v>
      </c>
      <c r="E11" s="110" t="s">
        <v>57</v>
      </c>
      <c r="F11" s="111"/>
      <c r="G11" s="111">
        <v>3</v>
      </c>
      <c r="H11" s="111" t="s">
        <v>23</v>
      </c>
      <c r="I11" s="111"/>
      <c r="J11" s="110"/>
      <c r="K11" s="111"/>
      <c r="L11" s="117">
        <v>72</v>
      </c>
      <c r="M11" s="117">
        <v>3</v>
      </c>
      <c r="N11" s="117">
        <v>104</v>
      </c>
      <c r="O11" s="117">
        <v>0</v>
      </c>
      <c r="P11" s="132">
        <f t="shared" si="0"/>
        <v>179</v>
      </c>
      <c r="Q11" s="103">
        <f>((data!$A$3/8)*L11)+((data!$B$3/8)*(M11+N11+O11))+(P11*$E$25)</f>
        <v>769750</v>
      </c>
      <c r="R11" s="91">
        <f t="shared" si="16"/>
        <v>0</v>
      </c>
      <c r="S11" s="103">
        <f t="shared" si="12"/>
        <v>22375</v>
      </c>
      <c r="T11" s="103">
        <f t="shared" si="13"/>
        <v>150000</v>
      </c>
      <c r="U11" s="103">
        <f t="shared" si="17"/>
        <v>44750</v>
      </c>
      <c r="V11" s="100">
        <f t="shared" si="14"/>
        <v>0</v>
      </c>
      <c r="W11" s="103"/>
      <c r="X11" s="103">
        <f>IF(K11="ok",50000+AB11,0+AB11)</f>
        <v>0</v>
      </c>
      <c r="Y11" s="103">
        <v>114500</v>
      </c>
      <c r="Z11" s="103">
        <f t="shared" si="4"/>
        <v>1101500</v>
      </c>
      <c r="AE11" s="85">
        <f t="shared" si="5"/>
        <v>22.375</v>
      </c>
      <c r="AF11" s="85">
        <f t="shared" si="6"/>
        <v>0</v>
      </c>
      <c r="AG11" s="85">
        <f t="shared" si="7"/>
        <v>22.375</v>
      </c>
      <c r="AL11" s="89">
        <v>1047500</v>
      </c>
      <c r="AM11" s="85" t="str">
        <f t="shared" si="15"/>
        <v>Reza</v>
      </c>
      <c r="AO11" s="13"/>
      <c r="AP11" s="85">
        <f t="shared" si="9"/>
        <v>0</v>
      </c>
    </row>
    <row r="12" spans="1:42" s="142" customFormat="1" ht="26.1" customHeight="1" x14ac:dyDescent="0.25">
      <c r="A12" s="134"/>
      <c r="B12" s="135">
        <v>8</v>
      </c>
      <c r="C12" s="136" t="s">
        <v>31</v>
      </c>
      <c r="D12" s="137" t="s">
        <v>3</v>
      </c>
      <c r="E12" s="138"/>
      <c r="F12" s="139"/>
      <c r="G12" s="139">
        <v>3</v>
      </c>
      <c r="H12" s="139" t="s">
        <v>23</v>
      </c>
      <c r="I12" s="139" t="s">
        <v>53</v>
      </c>
      <c r="J12" s="138"/>
      <c r="K12" s="139" t="s">
        <v>23</v>
      </c>
      <c r="L12" s="140">
        <v>224</v>
      </c>
      <c r="M12" s="140">
        <v>8</v>
      </c>
      <c r="N12" s="140">
        <v>0</v>
      </c>
      <c r="O12" s="140"/>
      <c r="P12" s="132">
        <f t="shared" si="0"/>
        <v>232</v>
      </c>
      <c r="Q12" s="91">
        <f>((data!$A$3/8)*L12)+((data!$B$3/8)*(M12+N12+O12))+(P12*$E$25)</f>
        <v>1014000</v>
      </c>
      <c r="R12" s="91">
        <f t="shared" si="16"/>
        <v>100000</v>
      </c>
      <c r="S12" s="91">
        <f t="shared" si="12"/>
        <v>29000</v>
      </c>
      <c r="T12" s="91">
        <f t="shared" si="13"/>
        <v>150000</v>
      </c>
      <c r="U12" s="91">
        <f t="shared" si="17"/>
        <v>87000</v>
      </c>
      <c r="V12" s="141">
        <f t="shared" si="14"/>
        <v>0</v>
      </c>
      <c r="W12" s="91"/>
      <c r="X12" s="91">
        <f>IF(K12="ok",50000+AB12,0+AB12)</f>
        <v>50000</v>
      </c>
      <c r="Y12" s="91">
        <v>1000</v>
      </c>
      <c r="Z12" s="91">
        <f t="shared" si="4"/>
        <v>1431000</v>
      </c>
      <c r="AE12" s="142">
        <f t="shared" si="5"/>
        <v>29</v>
      </c>
      <c r="AF12" s="142">
        <f t="shared" si="6"/>
        <v>0</v>
      </c>
      <c r="AG12" s="142">
        <f t="shared" ref="AG12:AG16" si="18">AE12-AF12</f>
        <v>29</v>
      </c>
      <c r="AL12" s="143">
        <v>1430000</v>
      </c>
      <c r="AM12" s="142" t="str">
        <f t="shared" si="15"/>
        <v>Rini</v>
      </c>
      <c r="AO12" s="144"/>
      <c r="AP12" s="142">
        <f t="shared" si="9"/>
        <v>0</v>
      </c>
    </row>
    <row r="13" spans="1:42" s="85" customFormat="1" ht="26.1" customHeight="1" x14ac:dyDescent="0.25">
      <c r="A13" s="95"/>
      <c r="B13" s="2">
        <v>9</v>
      </c>
      <c r="C13" s="119" t="s">
        <v>65</v>
      </c>
      <c r="D13" s="112" t="s">
        <v>3</v>
      </c>
      <c r="E13" s="110"/>
      <c r="F13" s="111"/>
      <c r="G13" s="111">
        <v>1</v>
      </c>
      <c r="H13" s="111"/>
      <c r="I13" s="111" t="s">
        <v>50</v>
      </c>
      <c r="J13" s="110"/>
      <c r="K13" s="111"/>
      <c r="L13" s="117">
        <v>0</v>
      </c>
      <c r="M13" s="117">
        <v>187</v>
      </c>
      <c r="N13" s="117">
        <v>0</v>
      </c>
      <c r="O13" s="146"/>
      <c r="P13" s="145">
        <f t="shared" si="0"/>
        <v>187</v>
      </c>
      <c r="Q13" s="103">
        <f>((data!$A$3/8)*L13)+((data!$B$3/8)*(M13+N13+O13))+(P13*$E$25)</f>
        <v>794750</v>
      </c>
      <c r="R13" s="103">
        <f t="shared" si="16"/>
        <v>50000</v>
      </c>
      <c r="S13" s="103">
        <f t="shared" si="12"/>
        <v>23375</v>
      </c>
      <c r="T13" s="103">
        <f t="shared" si="13"/>
        <v>50000</v>
      </c>
      <c r="U13" s="103">
        <f t="shared" si="17"/>
        <v>0</v>
      </c>
      <c r="V13" s="100">
        <f t="shared" si="14"/>
        <v>0</v>
      </c>
      <c r="W13" s="103"/>
      <c r="X13" s="103"/>
      <c r="Y13" s="103">
        <v>3000</v>
      </c>
      <c r="Z13" s="103">
        <f t="shared" si="4"/>
        <v>921500</v>
      </c>
      <c r="AE13" s="85">
        <f t="shared" si="5"/>
        <v>23.375</v>
      </c>
      <c r="AF13" s="85">
        <f t="shared" si="6"/>
        <v>0</v>
      </c>
      <c r="AG13" s="85">
        <f t="shared" si="18"/>
        <v>23.375</v>
      </c>
      <c r="AL13" s="89">
        <v>953500</v>
      </c>
      <c r="AM13" s="85" t="str">
        <f t="shared" si="15"/>
        <v>Ronald</v>
      </c>
      <c r="AO13" s="13"/>
      <c r="AP13" s="85">
        <f t="shared" si="9"/>
        <v>0</v>
      </c>
    </row>
    <row r="14" spans="1:42" s="85" customFormat="1" ht="26.1" customHeight="1" x14ac:dyDescent="0.25">
      <c r="A14" s="95"/>
      <c r="B14" s="2">
        <v>10</v>
      </c>
      <c r="C14" s="119" t="s">
        <v>35</v>
      </c>
      <c r="D14" s="112" t="s">
        <v>3</v>
      </c>
      <c r="E14" s="111" t="s">
        <v>57</v>
      </c>
      <c r="F14" s="111"/>
      <c r="G14" s="111">
        <v>1</v>
      </c>
      <c r="H14" s="111"/>
      <c r="I14" s="111" t="s">
        <v>50</v>
      </c>
      <c r="J14" s="110"/>
      <c r="K14" s="111"/>
      <c r="L14" s="117">
        <v>0</v>
      </c>
      <c r="M14" s="117">
        <v>177</v>
      </c>
      <c r="N14" s="117">
        <v>3</v>
      </c>
      <c r="O14" s="117"/>
      <c r="P14" s="145">
        <f t="shared" si="0"/>
        <v>180</v>
      </c>
      <c r="Q14" s="103">
        <f>((data!$A$3/8)*L14)+((data!$B$3/8)*(M14+N14+O14))+(P14*$E$25)</f>
        <v>765000</v>
      </c>
      <c r="R14" s="103">
        <f t="shared" si="16"/>
        <v>0</v>
      </c>
      <c r="S14" s="103">
        <v>0</v>
      </c>
      <c r="T14" s="103">
        <v>0</v>
      </c>
      <c r="U14" s="103">
        <f t="shared" si="17"/>
        <v>0</v>
      </c>
      <c r="V14" s="100">
        <f t="shared" si="14"/>
        <v>0</v>
      </c>
      <c r="W14" s="103"/>
      <c r="X14" s="103">
        <f>IF(K14="ok",50000+AB14,0+AB14)</f>
        <v>0</v>
      </c>
      <c r="Y14" s="103">
        <v>6500</v>
      </c>
      <c r="Z14" s="103">
        <f t="shared" si="4"/>
        <v>771500</v>
      </c>
      <c r="AE14" s="85">
        <f t="shared" si="5"/>
        <v>22.5</v>
      </c>
      <c r="AF14" s="85">
        <f t="shared" si="6"/>
        <v>0</v>
      </c>
      <c r="AG14" s="85">
        <f t="shared" si="18"/>
        <v>22.5</v>
      </c>
      <c r="AL14" s="89">
        <v>765000</v>
      </c>
      <c r="AM14" s="85" t="str">
        <f t="shared" si="15"/>
        <v>Arif</v>
      </c>
      <c r="AO14" s="13"/>
      <c r="AP14" s="85">
        <f t="shared" si="9"/>
        <v>0</v>
      </c>
    </row>
    <row r="15" spans="1:42" s="85" customFormat="1" ht="26.1" customHeight="1" x14ac:dyDescent="0.25">
      <c r="A15" s="95"/>
      <c r="B15" s="2">
        <v>11</v>
      </c>
      <c r="C15" s="129" t="s">
        <v>72</v>
      </c>
      <c r="D15" s="112" t="s">
        <v>25</v>
      </c>
      <c r="E15" s="110" t="s">
        <v>52</v>
      </c>
      <c r="F15" s="111"/>
      <c r="G15" s="111"/>
      <c r="H15" s="111"/>
      <c r="I15" s="111" t="s">
        <v>50</v>
      </c>
      <c r="J15" s="110"/>
      <c r="K15" s="111"/>
      <c r="L15" s="117">
        <v>24</v>
      </c>
      <c r="M15" s="117">
        <v>0</v>
      </c>
      <c r="N15" s="117">
        <v>40</v>
      </c>
      <c r="O15" s="117"/>
      <c r="P15" s="145">
        <f t="shared" si="0"/>
        <v>64</v>
      </c>
      <c r="Q15" s="103">
        <f>((data!$A$3/8)*L15)+((data!$B$3/8)*(M15+N15+O15))+(P15*$E$25)</f>
        <v>275000</v>
      </c>
      <c r="R15" s="103">
        <f t="shared" si="16"/>
        <v>0</v>
      </c>
      <c r="S15" s="103">
        <v>0</v>
      </c>
      <c r="T15" s="103">
        <f t="shared" si="13"/>
        <v>0</v>
      </c>
      <c r="U15" s="103">
        <f t="shared" si="17"/>
        <v>0</v>
      </c>
      <c r="V15" s="100">
        <f t="shared" si="14"/>
        <v>0</v>
      </c>
      <c r="W15" s="103"/>
      <c r="X15" s="103">
        <v>90000</v>
      </c>
      <c r="Y15" s="103">
        <v>2500</v>
      </c>
      <c r="Z15" s="103">
        <f t="shared" si="4"/>
        <v>367500</v>
      </c>
      <c r="AE15" s="85">
        <f t="shared" si="5"/>
        <v>8</v>
      </c>
      <c r="AF15" s="85">
        <f t="shared" si="6"/>
        <v>0</v>
      </c>
      <c r="AG15" s="85">
        <f t="shared" si="18"/>
        <v>8</v>
      </c>
      <c r="AL15" s="89">
        <v>365000</v>
      </c>
      <c r="AM15" s="85" t="str">
        <f t="shared" si="15"/>
        <v>Alfreda</v>
      </c>
      <c r="AO15" s="13"/>
      <c r="AP15" s="85">
        <f t="shared" si="9"/>
        <v>0</v>
      </c>
    </row>
    <row r="16" spans="1:42" s="85" customFormat="1" ht="26.1" customHeight="1" x14ac:dyDescent="0.25">
      <c r="A16" s="95"/>
      <c r="B16" s="2">
        <v>12</v>
      </c>
      <c r="C16" s="130" t="s">
        <v>71</v>
      </c>
      <c r="D16" s="112" t="s">
        <v>25</v>
      </c>
      <c r="E16" s="110" t="s">
        <v>52</v>
      </c>
      <c r="F16" s="128"/>
      <c r="G16" s="120"/>
      <c r="H16" s="120"/>
      <c r="I16" s="111" t="s">
        <v>53</v>
      </c>
      <c r="J16" s="128"/>
      <c r="K16" s="131" t="s">
        <v>23</v>
      </c>
      <c r="L16" s="117">
        <v>6</v>
      </c>
      <c r="M16" s="117">
        <v>3</v>
      </c>
      <c r="N16" s="117">
        <v>219</v>
      </c>
      <c r="O16" s="117"/>
      <c r="P16" s="145">
        <f t="shared" si="0"/>
        <v>228</v>
      </c>
      <c r="Q16" s="103">
        <f>((data!$A$3/8)*L16)+((data!$B$3/8)*(M16+N16+O16))+(P16*$E$25)</f>
        <v>969750</v>
      </c>
      <c r="R16" s="103"/>
      <c r="S16" s="103">
        <f t="shared" si="12"/>
        <v>28500</v>
      </c>
      <c r="T16" s="103">
        <f t="shared" si="13"/>
        <v>0</v>
      </c>
      <c r="U16" s="103">
        <f t="shared" ref="U16" si="19">IF(OR(D16="Percobaan",D16=""),0,IF(I16="+",P16/8*3000,IF(I16="-",0,P16/8*2000)))</f>
        <v>0</v>
      </c>
      <c r="V16" s="100">
        <f t="shared" si="14"/>
        <v>0</v>
      </c>
      <c r="W16" s="103"/>
      <c r="X16" s="103">
        <v>0</v>
      </c>
      <c r="Y16" s="103">
        <v>4000</v>
      </c>
      <c r="Z16" s="103">
        <f t="shared" si="4"/>
        <v>1002500</v>
      </c>
      <c r="AE16" s="85">
        <f t="shared" si="5"/>
        <v>28.5</v>
      </c>
      <c r="AF16" s="85">
        <f t="shared" ref="AF16" si="20">O16/8</f>
        <v>0</v>
      </c>
      <c r="AG16" s="85">
        <f t="shared" si="18"/>
        <v>28.5</v>
      </c>
      <c r="AL16" s="89">
        <v>998500</v>
      </c>
      <c r="AM16" s="85" t="str">
        <f t="shared" si="8"/>
        <v>Hafiz</v>
      </c>
      <c r="AO16" s="13"/>
      <c r="AP16" s="85">
        <f t="shared" si="9"/>
        <v>0</v>
      </c>
    </row>
    <row r="17" spans="1:42" s="85" customFormat="1" ht="26.1" hidden="1" customHeight="1" x14ac:dyDescent="0.25">
      <c r="A17" s="95"/>
      <c r="B17" s="2">
        <v>13</v>
      </c>
      <c r="C17" s="104"/>
      <c r="D17" s="87"/>
      <c r="E17" s="86"/>
      <c r="F17" s="93"/>
      <c r="G17" s="93"/>
      <c r="H17" s="93"/>
      <c r="I17" s="52"/>
      <c r="J17" s="93"/>
      <c r="K17" s="93"/>
      <c r="L17" s="30"/>
      <c r="M17" s="94"/>
      <c r="N17" s="94"/>
      <c r="O17" s="94"/>
      <c r="P17" s="92">
        <f t="shared" si="0"/>
        <v>0</v>
      </c>
      <c r="Q17" s="103">
        <f>((data!$A$3/8)*L17)+((data!$B$3/8)*(M17+N17+O17))+(P17*$E$25)</f>
        <v>0</v>
      </c>
      <c r="R17" s="103">
        <f t="shared" ref="R17" si="21">IF(D17="Percobaan",0,IF(AND(E17="",G17&gt;0,H17="ok"),100000,IF(AND(E17="",G17&gt;0,H17=""),50000,IF(AND(E17=""),100000,0))))</f>
        <v>100000</v>
      </c>
      <c r="S17" s="103">
        <f t="shared" si="12"/>
        <v>0</v>
      </c>
      <c r="T17" s="103">
        <f t="shared" ref="T17" si="22">IF(AND(G17&gt;0,H17=""),50000,IF(AND(G17&gt;0,H17="ok"),G17*50000,0))</f>
        <v>0</v>
      </c>
      <c r="U17" s="103">
        <f t="shared" ref="U17" si="23">IF(OR(D17="Percobaan",D17=""),0,IF(I17="+",P17/8*3000,IF(I17="-",0,P17/8*2000)))</f>
        <v>0</v>
      </c>
      <c r="V17" s="100">
        <f t="shared" ref="V17" si="24">J17*-12500</f>
        <v>0</v>
      </c>
      <c r="W17" s="103"/>
      <c r="X17" s="103">
        <f>IF(K17="ok",50000+AB17,0+AB17)</f>
        <v>0</v>
      </c>
      <c r="Y17" s="103"/>
      <c r="Z17" s="103">
        <f t="shared" ref="Z17" si="25">CEILING(SUM(Q17:Y17),500)</f>
        <v>100000</v>
      </c>
      <c r="AE17" s="85">
        <f t="shared" ref="AE17" si="26">P17/8</f>
        <v>0</v>
      </c>
      <c r="AF17" s="85">
        <f t="shared" ref="AF17" si="27">O17/8</f>
        <v>0</v>
      </c>
      <c r="AG17" s="85">
        <f t="shared" ref="AG17" si="28">AE17-AF17</f>
        <v>0</v>
      </c>
      <c r="AL17" s="89">
        <v>0</v>
      </c>
      <c r="AM17" s="85">
        <f t="shared" si="8"/>
        <v>0</v>
      </c>
      <c r="AO17" s="13"/>
      <c r="AP17" s="85">
        <f t="shared" si="9"/>
        <v>0</v>
      </c>
    </row>
    <row r="18" spans="1:42" s="85" customFormat="1" ht="26.1" hidden="1" customHeight="1" x14ac:dyDescent="0.25">
      <c r="A18" s="95"/>
      <c r="B18" s="2">
        <v>14</v>
      </c>
      <c r="C18" s="34"/>
      <c r="D18" s="87"/>
      <c r="E18" s="2">
        <v>0</v>
      </c>
      <c r="F18" s="90"/>
      <c r="G18" s="90"/>
      <c r="H18" s="90"/>
      <c r="I18" s="52" t="s">
        <v>50</v>
      </c>
      <c r="J18" s="90"/>
      <c r="K18" s="90"/>
      <c r="L18" s="30"/>
      <c r="M18" s="30"/>
      <c r="N18" s="30"/>
      <c r="O18" s="30"/>
      <c r="P18" s="91">
        <f t="shared" si="0"/>
        <v>0</v>
      </c>
      <c r="Q18" s="103">
        <f>((data!$A$3/8)*L18)+((data!$B$3/8)*(M18+N18+O18))+(P18*$E$25)</f>
        <v>0</v>
      </c>
      <c r="R18" s="103">
        <f t="shared" ref="R18" si="29">IF(D18="Percobaan",0,IF(AND(E18="",G18&gt;0,H18="ok"),100000,IF(AND(E18="",G18&gt;0,H18=""),50000,IF(AND(E18=""),100000,0))))</f>
        <v>0</v>
      </c>
      <c r="S18" s="103">
        <v>0</v>
      </c>
      <c r="T18" s="103">
        <f t="shared" ref="T18" si="30">IF(AND(G18&gt;0,H18=""),50000,IF(AND(G18&gt;0,H18="ok"),G18*50000,0))</f>
        <v>0</v>
      </c>
      <c r="U18" s="103">
        <f t="shared" ref="U18" si="31">IF(OR(D18="Percobaan",D18=""),0,IF(I18="+",P18/8*3000,IF(I18="-",0,P18/8*2000)))</f>
        <v>0</v>
      </c>
      <c r="V18" s="100">
        <f t="shared" ref="V18" si="32">J18*-12500</f>
        <v>0</v>
      </c>
      <c r="W18" s="103"/>
      <c r="X18" s="103">
        <f>IF(K18="ok",50000+AB18,0+AB18)</f>
        <v>0</v>
      </c>
      <c r="Y18" s="103"/>
      <c r="Z18" s="103">
        <f t="shared" ref="Z18" si="33">CEILING(SUM(Q18:Y18),500)</f>
        <v>0</v>
      </c>
      <c r="AL18" s="89">
        <v>0</v>
      </c>
      <c r="AM18" s="85">
        <f t="shared" si="8"/>
        <v>0</v>
      </c>
    </row>
    <row r="19" spans="1:42" ht="26.1" customHeight="1" x14ac:dyDescent="0.25">
      <c r="A19" s="1"/>
      <c r="B19" s="28"/>
      <c r="C19" s="35"/>
      <c r="D19" s="35"/>
      <c r="E19" s="28"/>
      <c r="F19" s="35"/>
      <c r="G19" s="29"/>
      <c r="H19" s="29"/>
      <c r="I19" s="29"/>
      <c r="J19" s="28">
        <f>SUM(J5:J17)</f>
        <v>0</v>
      </c>
      <c r="K19" s="29"/>
      <c r="L19" s="36">
        <f>SUM(L5:L17)</f>
        <v>744</v>
      </c>
      <c r="M19" s="36">
        <f>SUM(M5:M18)</f>
        <v>744</v>
      </c>
      <c r="N19" s="36">
        <f>SUM(N5:N18)</f>
        <v>744</v>
      </c>
      <c r="O19" s="36">
        <f t="shared" ref="O19:Z19" si="34">SUM(O5:O17)</f>
        <v>8</v>
      </c>
      <c r="P19" s="37">
        <f>SUM(P5:P18)</f>
        <v>2240</v>
      </c>
      <c r="Q19" s="37">
        <f t="shared" si="34"/>
        <v>9613000</v>
      </c>
      <c r="R19" s="37">
        <f t="shared" si="34"/>
        <v>550000</v>
      </c>
      <c r="S19" s="37">
        <f t="shared" si="34"/>
        <v>196625</v>
      </c>
      <c r="T19" s="37">
        <f t="shared" si="34"/>
        <v>750000</v>
      </c>
      <c r="U19" s="37">
        <f t="shared" si="34"/>
        <v>452125</v>
      </c>
      <c r="V19" s="101">
        <f t="shared" si="34"/>
        <v>0</v>
      </c>
      <c r="W19" s="37">
        <f t="shared" si="34"/>
        <v>50000</v>
      </c>
      <c r="X19" s="37">
        <f t="shared" si="34"/>
        <v>240000</v>
      </c>
      <c r="Y19" s="37">
        <f t="shared" si="34"/>
        <v>592500</v>
      </c>
      <c r="Z19" s="37">
        <f t="shared" si="34"/>
        <v>12446000</v>
      </c>
    </row>
    <row r="20" spans="1:42" ht="26.1" customHeight="1" x14ac:dyDescent="0.25">
      <c r="A20" s="1"/>
      <c r="B20" s="5"/>
      <c r="C20" s="8"/>
      <c r="D20" s="8"/>
      <c r="E20" s="8"/>
      <c r="F20" s="8"/>
      <c r="G20" s="8"/>
      <c r="H20" s="8"/>
      <c r="I20" s="8"/>
      <c r="J20" s="8"/>
      <c r="K20" s="8"/>
      <c r="L20" s="149">
        <f>L19+M19+N19</f>
        <v>2232</v>
      </c>
      <c r="M20" s="150"/>
      <c r="N20" s="150"/>
      <c r="X20" s="153">
        <f ca="1">NOW()</f>
        <v>45545.70883541667</v>
      </c>
      <c r="Y20" s="153"/>
    </row>
    <row r="21" spans="1:42" ht="26.1" hidden="1" customHeight="1" x14ac:dyDescent="0.25">
      <c r="A21" s="1"/>
      <c r="B21" s="5"/>
      <c r="C21" s="8"/>
      <c r="D21" s="8"/>
      <c r="E21" s="8"/>
      <c r="F21" s="8"/>
      <c r="G21" s="8"/>
      <c r="H21" s="8"/>
      <c r="I21" s="8"/>
      <c r="J21" s="8"/>
      <c r="K21" s="8"/>
    </row>
    <row r="22" spans="1:42" ht="26.1" hidden="1" customHeight="1" x14ac:dyDescent="0.25">
      <c r="A22" s="1"/>
      <c r="B22" s="9"/>
      <c r="C22" s="9"/>
      <c r="D22" s="9"/>
      <c r="E22" s="10"/>
      <c r="F22" s="9"/>
      <c r="G22" s="11"/>
      <c r="H22" s="6"/>
      <c r="I22" s="7"/>
      <c r="J22" s="7"/>
      <c r="K22" s="5"/>
      <c r="L22" s="24">
        <f>SUM(L19:N19)</f>
        <v>2232</v>
      </c>
      <c r="M22" s="23"/>
    </row>
    <row r="23" spans="1:42" ht="26.1" hidden="1" customHeight="1" x14ac:dyDescent="0.25">
      <c r="A23" s="1"/>
      <c r="B23" s="12"/>
      <c r="C23" s="12"/>
      <c r="D23" s="12"/>
      <c r="E23" s="12"/>
      <c r="F23" s="12"/>
      <c r="G23" s="12"/>
      <c r="H23" s="13"/>
      <c r="I23" s="13"/>
      <c r="J23" s="13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42" ht="26.1" hidden="1" customHeight="1" x14ac:dyDescent="0.25">
      <c r="A24" s="1"/>
      <c r="B24" s="16"/>
      <c r="C24" s="17"/>
      <c r="D24" s="12"/>
      <c r="E24" s="12"/>
      <c r="F24" s="12"/>
      <c r="G24" s="12"/>
      <c r="H24" s="12"/>
      <c r="I24" s="17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42" ht="26.1" customHeight="1" x14ac:dyDescent="0.25">
      <c r="A25" s="1"/>
      <c r="B25" s="42"/>
      <c r="C25" s="42" t="s">
        <v>33</v>
      </c>
      <c r="D25" s="42"/>
      <c r="E25" s="154">
        <f>IF(L20&gt;0,data!F3/L20)</f>
        <v>0</v>
      </c>
      <c r="F25" s="154"/>
      <c r="G25" s="12"/>
      <c r="H25" s="17"/>
      <c r="I25" s="17"/>
      <c r="J25" s="43" t="s">
        <v>70</v>
      </c>
      <c r="K25" s="43"/>
      <c r="L25" s="43"/>
      <c r="M25" s="43"/>
      <c r="N25" s="43"/>
      <c r="O25" s="43"/>
      <c r="P25" s="43"/>
      <c r="Q25" s="43"/>
      <c r="R25" s="43"/>
      <c r="S25" s="43"/>
      <c r="T25" s="13"/>
      <c r="U25" s="13"/>
      <c r="V25" s="13"/>
      <c r="W25" s="13"/>
      <c r="X25" s="13"/>
      <c r="Y25" s="13"/>
      <c r="Z25" s="13"/>
    </row>
    <row r="26" spans="1:42" ht="26.1" hidden="1" customHeight="1" x14ac:dyDescent="0.25">
      <c r="A26" s="1"/>
      <c r="B26" s="41"/>
      <c r="C26" s="41"/>
      <c r="D26" s="41"/>
      <c r="E26" s="14"/>
      <c r="F26" s="14"/>
      <c r="G26" s="12"/>
      <c r="H26" s="17"/>
      <c r="I26" s="12"/>
      <c r="J26" s="12"/>
      <c r="K26" s="25"/>
      <c r="L26" s="25"/>
      <c r="M26" s="25"/>
      <c r="N26" s="25"/>
      <c r="O26" s="1"/>
      <c r="P26" s="1"/>
      <c r="Q26" s="1"/>
      <c r="R26" s="1"/>
      <c r="S26" s="1"/>
      <c r="T26" s="13"/>
      <c r="U26" s="13"/>
      <c r="V26" s="13"/>
      <c r="W26" s="13"/>
      <c r="X26" s="13"/>
      <c r="Y26" s="13"/>
      <c r="Z26" s="13"/>
    </row>
    <row r="27" spans="1:42" ht="26.1" hidden="1" customHeight="1" x14ac:dyDescent="0.25">
      <c r="A27" s="1"/>
      <c r="B27" s="14"/>
      <c r="C27" s="14"/>
      <c r="D27" s="14"/>
      <c r="E27" s="14"/>
      <c r="F27" s="14"/>
      <c r="G27" s="12"/>
      <c r="H27" s="17"/>
      <c r="I27" s="12"/>
      <c r="J27" s="12"/>
      <c r="K27" s="1"/>
      <c r="L27" s="1"/>
      <c r="M27" s="1"/>
      <c r="N27" s="25"/>
      <c r="O27" s="1"/>
      <c r="P27" s="1"/>
      <c r="Q27" s="1"/>
      <c r="R27" s="1"/>
      <c r="S27" s="1"/>
      <c r="T27" s="13"/>
      <c r="U27" s="13"/>
      <c r="V27" s="13"/>
      <c r="W27" s="13"/>
      <c r="X27" s="13"/>
      <c r="Y27" s="13"/>
      <c r="Z27" s="13"/>
    </row>
    <row r="28" spans="1:42" ht="26.1" customHeight="1" x14ac:dyDescent="0.25">
      <c r="A28" s="1"/>
      <c r="B28" s="148" t="s">
        <v>48</v>
      </c>
      <c r="C28" s="148"/>
      <c r="D28" s="148"/>
      <c r="E28" s="148"/>
      <c r="F28" s="49">
        <v>3</v>
      </c>
      <c r="G28" s="12"/>
      <c r="H28" s="17"/>
      <c r="I28" s="12"/>
      <c r="J28" s="151"/>
      <c r="K28" s="151"/>
      <c r="L28" s="151"/>
      <c r="M28" s="151"/>
      <c r="N28" s="151"/>
      <c r="O28" s="151"/>
      <c r="P28" s="151"/>
      <c r="Q28" s="1"/>
      <c r="R28" s="1"/>
      <c r="S28" s="1"/>
      <c r="T28" s="13"/>
      <c r="U28" s="13"/>
      <c r="V28" s="13"/>
      <c r="W28" s="13"/>
      <c r="X28" s="13"/>
      <c r="Y28" s="13"/>
      <c r="Z28" s="13"/>
    </row>
    <row r="29" spans="1:42" ht="26.1" customHeight="1" x14ac:dyDescent="0.25">
      <c r="A29" s="1"/>
      <c r="B29" s="148" t="s">
        <v>34</v>
      </c>
      <c r="C29" s="148"/>
      <c r="D29" s="148"/>
      <c r="E29" s="148"/>
      <c r="F29" s="39">
        <f>31*24*F28</f>
        <v>2232</v>
      </c>
      <c r="G29" s="18"/>
      <c r="H29" s="39"/>
      <c r="I29" s="18"/>
      <c r="J29" s="151"/>
      <c r="K29" s="151"/>
      <c r="L29" s="151"/>
      <c r="M29" s="151"/>
      <c r="N29" s="151"/>
      <c r="O29" s="151"/>
      <c r="P29" s="151"/>
      <c r="Q29" s="1"/>
      <c r="R29" s="1"/>
      <c r="S29" s="1"/>
      <c r="T29" s="13"/>
      <c r="U29" s="13"/>
      <c r="V29" s="13"/>
      <c r="W29" s="13"/>
      <c r="X29" s="13"/>
      <c r="Y29" s="13"/>
      <c r="Z29" s="13"/>
    </row>
    <row r="30" spans="1:42" ht="26.1" customHeight="1" x14ac:dyDescent="0.25">
      <c r="A30" s="1"/>
      <c r="B30" s="148" t="s">
        <v>39</v>
      </c>
      <c r="C30" s="148"/>
      <c r="D30" s="148"/>
      <c r="E30" s="148"/>
      <c r="F30" s="39">
        <v>0</v>
      </c>
      <c r="G30" s="18"/>
      <c r="H30" s="18"/>
      <c r="I30" s="18"/>
      <c r="J30" s="18"/>
      <c r="K30" s="1"/>
      <c r="L30" s="46"/>
      <c r="M30" s="1"/>
      <c r="N30" s="25"/>
      <c r="O30" s="1"/>
      <c r="P30" s="106"/>
      <c r="Q30" s="45"/>
      <c r="R30" s="1"/>
      <c r="S30" s="1"/>
      <c r="T30" s="13"/>
      <c r="U30" s="13"/>
      <c r="V30" s="13"/>
      <c r="W30" s="13"/>
      <c r="X30" s="13"/>
      <c r="Y30" s="13"/>
      <c r="Z30" s="13"/>
    </row>
    <row r="31" spans="1:42" ht="26.1" customHeight="1" x14ac:dyDescent="0.25">
      <c r="A31" s="1"/>
      <c r="B31" s="148" t="s">
        <v>40</v>
      </c>
      <c r="C31" s="148"/>
      <c r="D31" s="148"/>
      <c r="E31" s="148"/>
      <c r="F31" s="38">
        <f>F29-F30</f>
        <v>2232</v>
      </c>
      <c r="G31" s="19"/>
      <c r="H31" s="19"/>
      <c r="I31" s="19"/>
      <c r="J31" s="19"/>
      <c r="K31" s="1"/>
      <c r="L31" s="1"/>
      <c r="M31" s="1"/>
      <c r="N31" s="25"/>
      <c r="O31" s="1"/>
      <c r="P31" s="107"/>
      <c r="Q31" s="1"/>
      <c r="R31" s="1"/>
      <c r="S31" s="1"/>
      <c r="T31" s="13"/>
      <c r="U31" s="13"/>
      <c r="V31" s="13"/>
      <c r="W31" s="13"/>
      <c r="X31" s="13"/>
      <c r="Y31" s="13"/>
      <c r="Z31" s="13"/>
    </row>
    <row r="32" spans="1:42" ht="26.1" customHeight="1" x14ac:dyDescent="0.25">
      <c r="A32" s="1"/>
      <c r="B32" s="147" t="s">
        <v>41</v>
      </c>
      <c r="C32" s="147"/>
      <c r="D32" s="147"/>
      <c r="E32" s="147"/>
      <c r="F32" s="40">
        <f>P19</f>
        <v>2240</v>
      </c>
      <c r="G32" s="20"/>
      <c r="H32" s="20"/>
      <c r="I32" s="20"/>
      <c r="J32" s="20"/>
      <c r="K32" s="1"/>
      <c r="L32" s="109"/>
      <c r="M32" s="109"/>
      <c r="N32" s="25"/>
      <c r="O32" s="1"/>
      <c r="P32" s="1"/>
      <c r="Q32" s="1"/>
      <c r="R32" s="1"/>
      <c r="S32" s="1"/>
      <c r="T32" s="21"/>
      <c r="U32" s="21"/>
      <c r="V32" s="21"/>
      <c r="W32" s="21"/>
      <c r="X32" s="21"/>
      <c r="Y32" s="21"/>
      <c r="Z32" s="21"/>
    </row>
    <row r="33" spans="1:26" ht="26.1" customHeight="1" x14ac:dyDescent="0.25">
      <c r="A33" s="1"/>
      <c r="B33" s="147" t="s">
        <v>73</v>
      </c>
      <c r="C33" s="147"/>
      <c r="D33" s="147"/>
      <c r="E33" s="147"/>
      <c r="F33" s="83">
        <f>-(F31-F32)</f>
        <v>8</v>
      </c>
      <c r="G33" s="22"/>
      <c r="H33" s="22"/>
      <c r="I33" s="22"/>
      <c r="J33" s="20"/>
      <c r="K33" s="20"/>
      <c r="L33" s="7"/>
      <c r="M33" s="21"/>
      <c r="N33" s="7"/>
      <c r="O33" s="7"/>
      <c r="P33" s="21"/>
      <c r="Q33" s="5"/>
      <c r="R33" s="21"/>
      <c r="S33" s="21"/>
      <c r="T33" s="21"/>
      <c r="U33" s="5"/>
      <c r="V33" s="5"/>
      <c r="W33" s="5"/>
      <c r="X33" s="5"/>
      <c r="Y33" s="5"/>
      <c r="Z33" s="7"/>
    </row>
    <row r="34" spans="1:26" ht="26.1" customHeight="1" x14ac:dyDescent="0.25">
      <c r="L34" s="108"/>
      <c r="M34" s="98"/>
      <c r="P34" s="98"/>
      <c r="R34" s="98"/>
      <c r="Z34" s="84"/>
    </row>
    <row r="35" spans="1:26" ht="26.1" customHeight="1" x14ac:dyDescent="0.25"/>
    <row r="36" spans="1:26" ht="26.1" customHeight="1" x14ac:dyDescent="0.25"/>
  </sheetData>
  <sortState xmlns:xlrd2="http://schemas.microsoft.com/office/spreadsheetml/2017/richdata2" ref="C5:AL16">
    <sortCondition ref="C5"/>
  </sortState>
  <mergeCells count="11">
    <mergeCell ref="B3:D3"/>
    <mergeCell ref="B28:E28"/>
    <mergeCell ref="X20:Y20"/>
    <mergeCell ref="E25:F25"/>
    <mergeCell ref="B30:E30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512" scale="3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890A-0861-4AEC-AB37-92C7AD684911}">
  <dimension ref="B4:AA37"/>
  <sheetViews>
    <sheetView workbookViewId="0">
      <selection activeCell="C24" sqref="C24:Y37"/>
    </sheetView>
  </sheetViews>
  <sheetFormatPr defaultRowHeight="15" x14ac:dyDescent="0.25"/>
  <cols>
    <col min="2" max="2" width="4.85546875" customWidth="1"/>
    <col min="3" max="3" width="10.42578125" customWidth="1"/>
    <col min="7" max="7" width="9.28515625" bestFit="1" customWidth="1"/>
    <col min="12" max="12" width="9.28515625" bestFit="1" customWidth="1"/>
    <col min="13" max="13" width="10.5703125" bestFit="1" customWidth="1"/>
    <col min="14" max="14" width="9.28515625" bestFit="1" customWidth="1"/>
    <col min="15" max="15" width="10.5703125" bestFit="1" customWidth="1"/>
    <col min="16" max="16" width="9.28515625" bestFit="1" customWidth="1"/>
    <col min="17" max="17" width="10.5703125" bestFit="1" customWidth="1"/>
    <col min="18" max="19" width="9.28515625" bestFit="1" customWidth="1"/>
    <col min="20" max="20" width="13" bestFit="1" customWidth="1"/>
    <col min="21" max="22" width="13" customWidth="1"/>
    <col min="23" max="23" width="11.140625" bestFit="1" customWidth="1"/>
    <col min="24" max="26" width="11" bestFit="1" customWidth="1"/>
    <col min="27" max="27" width="9.28515625" bestFit="1" customWidth="1"/>
    <col min="28" max="28" width="11" bestFit="1" customWidth="1"/>
    <col min="29" max="29" width="12.85546875" bestFit="1" customWidth="1"/>
    <col min="30" max="30" width="14.28515625" bestFit="1" customWidth="1"/>
  </cols>
  <sheetData>
    <row r="4" spans="2:27" ht="33.75" x14ac:dyDescent="0.25">
      <c r="B4" s="55" t="s">
        <v>1</v>
      </c>
      <c r="C4" s="55" t="s">
        <v>2</v>
      </c>
      <c r="D4" s="56" t="s">
        <v>3</v>
      </c>
      <c r="E4" s="55" t="s">
        <v>4</v>
      </c>
      <c r="F4" s="55" t="s">
        <v>5</v>
      </c>
      <c r="G4" s="55" t="s">
        <v>6</v>
      </c>
      <c r="H4" s="55" t="s">
        <v>7</v>
      </c>
      <c r="I4" s="55" t="s">
        <v>8</v>
      </c>
      <c r="J4" s="55" t="s">
        <v>9</v>
      </c>
      <c r="K4" s="55" t="s">
        <v>10</v>
      </c>
      <c r="L4" s="55" t="s">
        <v>11</v>
      </c>
      <c r="M4" s="55" t="s">
        <v>12</v>
      </c>
      <c r="N4" s="55" t="s">
        <v>13</v>
      </c>
      <c r="O4" s="55" t="s">
        <v>14</v>
      </c>
      <c r="P4" s="55" t="s">
        <v>15</v>
      </c>
      <c r="Q4" s="55" t="s">
        <v>16</v>
      </c>
      <c r="R4" s="55" t="s">
        <v>55</v>
      </c>
      <c r="S4" s="55" t="s">
        <v>56</v>
      </c>
      <c r="T4" s="55" t="s">
        <v>4</v>
      </c>
      <c r="U4" s="55" t="s">
        <v>5</v>
      </c>
      <c r="V4" s="55" t="s">
        <v>6</v>
      </c>
      <c r="W4" s="55" t="s">
        <v>17</v>
      </c>
      <c r="X4" s="55" t="s">
        <v>18</v>
      </c>
      <c r="Y4" s="55" t="s">
        <v>19</v>
      </c>
      <c r="Z4" s="55" t="s">
        <v>20</v>
      </c>
      <c r="AA4" s="55" t="s">
        <v>21</v>
      </c>
    </row>
    <row r="5" spans="2:27" x14ac:dyDescent="0.25">
      <c r="B5" s="57">
        <v>1</v>
      </c>
      <c r="C5" s="58" t="s">
        <v>22</v>
      </c>
      <c r="D5" s="59" t="s">
        <v>3</v>
      </c>
      <c r="E5" s="57" t="s">
        <v>51</v>
      </c>
      <c r="F5" s="60"/>
      <c r="G5" s="57">
        <v>1</v>
      </c>
      <c r="H5" s="57"/>
      <c r="I5" s="61" t="s">
        <v>50</v>
      </c>
      <c r="J5" s="57"/>
      <c r="K5" s="57"/>
      <c r="L5" s="62">
        <v>32</v>
      </c>
      <c r="M5" s="62">
        <v>10</v>
      </c>
      <c r="N5" s="62">
        <v>152</v>
      </c>
      <c r="O5" s="62">
        <v>0</v>
      </c>
      <c r="P5" s="62">
        <v>194</v>
      </c>
      <c r="Q5" s="62">
        <v>766267.02508960571</v>
      </c>
      <c r="R5" s="62">
        <f>Q5/P5</f>
        <v>3949.8300262350808</v>
      </c>
      <c r="S5" s="62">
        <f>R5*8</f>
        <v>31598.640209880647</v>
      </c>
      <c r="T5" s="62">
        <v>0</v>
      </c>
      <c r="U5" s="62">
        <v>24250</v>
      </c>
      <c r="V5" s="62">
        <v>50000</v>
      </c>
      <c r="W5" s="62">
        <v>0</v>
      </c>
      <c r="X5" s="62">
        <v>0</v>
      </c>
      <c r="Y5" s="62">
        <v>0</v>
      </c>
      <c r="Z5" s="62">
        <v>2000</v>
      </c>
      <c r="AA5" s="62">
        <v>843000</v>
      </c>
    </row>
    <row r="6" spans="2:27" x14ac:dyDescent="0.25">
      <c r="B6" s="63">
        <v>2</v>
      </c>
      <c r="C6" s="64" t="s">
        <v>49</v>
      </c>
      <c r="D6" s="65" t="s">
        <v>25</v>
      </c>
      <c r="E6" s="66" t="s">
        <v>52</v>
      </c>
      <c r="F6" s="65"/>
      <c r="G6" s="66"/>
      <c r="H6" s="66"/>
      <c r="I6" s="66" t="s">
        <v>50</v>
      </c>
      <c r="J6" s="63"/>
      <c r="K6" s="66"/>
      <c r="L6" s="67">
        <v>16</v>
      </c>
      <c r="M6" s="67">
        <v>59</v>
      </c>
      <c r="N6" s="67">
        <v>40</v>
      </c>
      <c r="O6" s="68">
        <v>0</v>
      </c>
      <c r="P6" s="67">
        <v>115</v>
      </c>
      <c r="Q6" s="62">
        <v>453859.31899641576</v>
      </c>
      <c r="R6" s="62">
        <f t="shared" ref="R6:R17" si="0">Q6/P6</f>
        <v>3946.6027738818761</v>
      </c>
      <c r="S6" s="62">
        <f t="shared" ref="S6:S17" si="1">R6*8</f>
        <v>31572.822191055009</v>
      </c>
      <c r="T6" s="67">
        <v>0</v>
      </c>
      <c r="U6" s="62">
        <v>14375</v>
      </c>
      <c r="V6" s="67">
        <v>0</v>
      </c>
      <c r="W6" s="67">
        <v>0</v>
      </c>
      <c r="X6" s="67">
        <v>0</v>
      </c>
      <c r="Y6" s="67">
        <v>90000</v>
      </c>
      <c r="Z6" s="67">
        <v>0</v>
      </c>
      <c r="AA6" s="67">
        <v>558500</v>
      </c>
    </row>
    <row r="7" spans="2:27" x14ac:dyDescent="0.25">
      <c r="B7" s="57">
        <v>3</v>
      </c>
      <c r="C7" s="60" t="s">
        <v>24</v>
      </c>
      <c r="D7" s="59" t="s">
        <v>3</v>
      </c>
      <c r="E7" s="61"/>
      <c r="F7" s="59"/>
      <c r="G7" s="61">
        <v>2</v>
      </c>
      <c r="H7" s="61" t="s">
        <v>23</v>
      </c>
      <c r="I7" s="69" t="s">
        <v>53</v>
      </c>
      <c r="J7" s="57"/>
      <c r="K7" s="61" t="s">
        <v>23</v>
      </c>
      <c r="L7" s="70">
        <v>202</v>
      </c>
      <c r="M7" s="70">
        <v>6</v>
      </c>
      <c r="N7" s="70">
        <v>8</v>
      </c>
      <c r="O7" s="70">
        <v>0</v>
      </c>
      <c r="P7" s="62">
        <v>216</v>
      </c>
      <c r="Q7" s="62">
        <v>873959.67741935479</v>
      </c>
      <c r="R7" s="62">
        <f t="shared" si="0"/>
        <v>4046.1096176821979</v>
      </c>
      <c r="S7" s="62">
        <f t="shared" si="1"/>
        <v>32368.876941457584</v>
      </c>
      <c r="T7" s="62">
        <v>100000</v>
      </c>
      <c r="U7" s="62">
        <v>27000</v>
      </c>
      <c r="V7" s="62">
        <v>100000</v>
      </c>
      <c r="W7" s="62">
        <v>81000</v>
      </c>
      <c r="X7" s="62">
        <v>0</v>
      </c>
      <c r="Y7" s="62">
        <v>50000</v>
      </c>
      <c r="Z7" s="62">
        <v>1500</v>
      </c>
      <c r="AA7" s="62">
        <v>1233500</v>
      </c>
    </row>
    <row r="8" spans="2:27" x14ac:dyDescent="0.25">
      <c r="B8" s="57">
        <v>4</v>
      </c>
      <c r="C8" s="59" t="s">
        <v>54</v>
      </c>
      <c r="D8" s="59" t="s">
        <v>25</v>
      </c>
      <c r="E8" s="57" t="s">
        <v>51</v>
      </c>
      <c r="F8" s="59"/>
      <c r="G8" s="61"/>
      <c r="H8" s="61"/>
      <c r="I8" s="61"/>
      <c r="J8" s="57"/>
      <c r="K8" s="61"/>
      <c r="L8" s="70">
        <v>0</v>
      </c>
      <c r="M8" s="70">
        <v>136</v>
      </c>
      <c r="N8" s="70">
        <v>72</v>
      </c>
      <c r="O8" s="70">
        <v>0</v>
      </c>
      <c r="P8" s="62">
        <v>208</v>
      </c>
      <c r="Q8" s="62">
        <v>817275.98566308245</v>
      </c>
      <c r="R8" s="62">
        <f t="shared" si="0"/>
        <v>3929.2114695340501</v>
      </c>
      <c r="S8" s="62">
        <f t="shared" si="1"/>
        <v>31433.691756272401</v>
      </c>
      <c r="T8" s="62">
        <v>0</v>
      </c>
      <c r="U8" s="62">
        <v>26000</v>
      </c>
      <c r="V8" s="62">
        <v>0</v>
      </c>
      <c r="W8" s="62">
        <v>0</v>
      </c>
      <c r="X8" s="62">
        <v>0</v>
      </c>
      <c r="Y8" s="62">
        <v>0</v>
      </c>
      <c r="Z8" s="62">
        <v>0</v>
      </c>
      <c r="AA8" s="62">
        <v>843500</v>
      </c>
    </row>
    <row r="9" spans="2:27" x14ac:dyDescent="0.25">
      <c r="B9" s="71">
        <v>5</v>
      </c>
      <c r="C9" s="72" t="s">
        <v>26</v>
      </c>
      <c r="D9" s="72" t="s">
        <v>3</v>
      </c>
      <c r="E9" s="71"/>
      <c r="F9" s="72"/>
      <c r="G9" s="73">
        <v>1</v>
      </c>
      <c r="H9" s="73" t="s">
        <v>23</v>
      </c>
      <c r="I9" s="73" t="s">
        <v>53</v>
      </c>
      <c r="J9" s="71"/>
      <c r="K9" s="73" t="s">
        <v>23</v>
      </c>
      <c r="L9" s="74">
        <v>4</v>
      </c>
      <c r="M9" s="74">
        <v>0</v>
      </c>
      <c r="N9" s="74">
        <v>109</v>
      </c>
      <c r="O9" s="74">
        <v>0</v>
      </c>
      <c r="P9" s="75">
        <v>113</v>
      </c>
      <c r="Q9" s="62">
        <v>444500.89605734765</v>
      </c>
      <c r="R9" s="62">
        <f t="shared" si="0"/>
        <v>3933.6362482951117</v>
      </c>
      <c r="S9" s="62">
        <f t="shared" si="1"/>
        <v>31469.089986360894</v>
      </c>
      <c r="T9" s="75">
        <v>100000</v>
      </c>
      <c r="U9" s="62">
        <v>14125</v>
      </c>
      <c r="V9" s="75">
        <v>50000</v>
      </c>
      <c r="W9" s="75">
        <v>42375</v>
      </c>
      <c r="X9" s="75">
        <v>0</v>
      </c>
      <c r="Y9" s="75">
        <v>50000</v>
      </c>
      <c r="Z9" s="75">
        <v>841000</v>
      </c>
      <c r="AA9" s="75">
        <v>1542500</v>
      </c>
    </row>
    <row r="10" spans="2:27" x14ac:dyDescent="0.25">
      <c r="B10" s="71">
        <v>6</v>
      </c>
      <c r="C10" s="76" t="s">
        <v>27</v>
      </c>
      <c r="D10" s="72" t="s">
        <v>3</v>
      </c>
      <c r="E10" s="73"/>
      <c r="F10" s="72"/>
      <c r="G10" s="73">
        <v>4</v>
      </c>
      <c r="H10" s="73" t="s">
        <v>23</v>
      </c>
      <c r="I10" s="73" t="s">
        <v>53</v>
      </c>
      <c r="J10" s="71"/>
      <c r="K10" s="73" t="s">
        <v>23</v>
      </c>
      <c r="L10" s="74">
        <v>0</v>
      </c>
      <c r="M10" s="74">
        <v>84</v>
      </c>
      <c r="N10" s="74">
        <v>2</v>
      </c>
      <c r="O10" s="74">
        <v>0</v>
      </c>
      <c r="P10" s="75">
        <v>86</v>
      </c>
      <c r="Q10" s="62">
        <v>337912.18637992832</v>
      </c>
      <c r="R10" s="62">
        <f t="shared" si="0"/>
        <v>3929.2114695340501</v>
      </c>
      <c r="S10" s="62">
        <f t="shared" si="1"/>
        <v>31433.691756272401</v>
      </c>
      <c r="T10" s="75">
        <v>50000</v>
      </c>
      <c r="U10" s="62">
        <v>10750</v>
      </c>
      <c r="V10" s="75">
        <v>200000</v>
      </c>
      <c r="W10" s="75">
        <v>32250</v>
      </c>
      <c r="X10" s="75">
        <v>0</v>
      </c>
      <c r="Y10" s="75">
        <v>50000</v>
      </c>
      <c r="Z10" s="75">
        <v>847000</v>
      </c>
      <c r="AA10" s="75">
        <v>1528000</v>
      </c>
    </row>
    <row r="11" spans="2:27" x14ac:dyDescent="0.25">
      <c r="B11" s="71">
        <v>7</v>
      </c>
      <c r="C11" s="76" t="s">
        <v>28</v>
      </c>
      <c r="D11" s="72" t="s">
        <v>3</v>
      </c>
      <c r="E11" s="71" t="s">
        <v>52</v>
      </c>
      <c r="F11" s="73"/>
      <c r="G11" s="73">
        <v>1</v>
      </c>
      <c r="H11" s="73"/>
      <c r="I11" s="73" t="s">
        <v>50</v>
      </c>
      <c r="J11" s="71"/>
      <c r="K11" s="73"/>
      <c r="L11" s="74">
        <v>0</v>
      </c>
      <c r="M11" s="74">
        <v>134</v>
      </c>
      <c r="N11" s="74">
        <v>11</v>
      </c>
      <c r="O11" s="74">
        <v>0</v>
      </c>
      <c r="P11" s="75">
        <v>145</v>
      </c>
      <c r="Q11" s="75">
        <v>569735.66308243724</v>
      </c>
      <c r="R11" s="62">
        <f t="shared" si="0"/>
        <v>3929.2114695340501</v>
      </c>
      <c r="S11" s="62">
        <f t="shared" si="1"/>
        <v>31433.691756272401</v>
      </c>
      <c r="T11" s="75">
        <v>0</v>
      </c>
      <c r="U11" s="75">
        <v>18125</v>
      </c>
      <c r="V11" s="75">
        <v>50000</v>
      </c>
      <c r="W11" s="75">
        <v>0</v>
      </c>
      <c r="X11" s="75">
        <v>0</v>
      </c>
      <c r="Y11" s="75">
        <v>0</v>
      </c>
      <c r="Z11" s="75">
        <v>196000</v>
      </c>
      <c r="AA11" s="75">
        <v>834000</v>
      </c>
    </row>
    <row r="12" spans="2:27" x14ac:dyDescent="0.25">
      <c r="B12" s="71">
        <v>8</v>
      </c>
      <c r="C12" s="76" t="s">
        <v>29</v>
      </c>
      <c r="D12" s="72" t="s">
        <v>3</v>
      </c>
      <c r="E12" s="71"/>
      <c r="F12" s="72"/>
      <c r="G12" s="73">
        <v>1</v>
      </c>
      <c r="H12" s="73" t="s">
        <v>23</v>
      </c>
      <c r="I12" s="73"/>
      <c r="J12" s="71"/>
      <c r="K12" s="73"/>
      <c r="L12" s="74">
        <v>41</v>
      </c>
      <c r="M12" s="74">
        <v>8</v>
      </c>
      <c r="N12" s="74">
        <v>135</v>
      </c>
      <c r="O12" s="74">
        <v>0</v>
      </c>
      <c r="P12" s="75">
        <v>184</v>
      </c>
      <c r="Q12" s="75">
        <v>728099.9103942652</v>
      </c>
      <c r="R12" s="62">
        <f t="shared" si="0"/>
        <v>3957.0647304036152</v>
      </c>
      <c r="S12" s="62">
        <f t="shared" si="1"/>
        <v>31656.517843228921</v>
      </c>
      <c r="T12" s="75">
        <v>100000</v>
      </c>
      <c r="U12" s="75">
        <v>23000</v>
      </c>
      <c r="V12" s="75">
        <v>50000</v>
      </c>
      <c r="W12" s="75">
        <v>46000</v>
      </c>
      <c r="X12" s="75">
        <v>0</v>
      </c>
      <c r="Y12" s="75">
        <v>0</v>
      </c>
      <c r="Z12" s="75">
        <v>122500</v>
      </c>
      <c r="AA12" s="75">
        <v>1070000</v>
      </c>
    </row>
    <row r="13" spans="2:27" x14ac:dyDescent="0.25">
      <c r="B13" s="57">
        <v>9</v>
      </c>
      <c r="C13" s="60" t="s">
        <v>30</v>
      </c>
      <c r="D13" s="59" t="s">
        <v>3</v>
      </c>
      <c r="E13" s="57"/>
      <c r="F13" s="59"/>
      <c r="G13" s="61">
        <v>1</v>
      </c>
      <c r="H13" s="61"/>
      <c r="I13" s="61" t="s">
        <v>53</v>
      </c>
      <c r="J13" s="57"/>
      <c r="K13" s="61"/>
      <c r="L13" s="70">
        <v>0</v>
      </c>
      <c r="M13" s="70">
        <v>216</v>
      </c>
      <c r="N13" s="70">
        <v>14</v>
      </c>
      <c r="O13" s="70">
        <v>0</v>
      </c>
      <c r="P13" s="62">
        <v>230</v>
      </c>
      <c r="Q13" s="62">
        <v>903718.63799283153</v>
      </c>
      <c r="R13" s="62">
        <f t="shared" si="0"/>
        <v>3929.2114695340501</v>
      </c>
      <c r="S13" s="62">
        <f t="shared" si="1"/>
        <v>31433.691756272401</v>
      </c>
      <c r="T13" s="62">
        <v>50000</v>
      </c>
      <c r="U13" s="62">
        <v>28750</v>
      </c>
      <c r="V13" s="62">
        <v>50000</v>
      </c>
      <c r="W13" s="62">
        <v>86250</v>
      </c>
      <c r="X13" s="62">
        <v>0</v>
      </c>
      <c r="Y13" s="62">
        <v>0</v>
      </c>
      <c r="Z13" s="62">
        <v>3000</v>
      </c>
      <c r="AA13" s="62">
        <v>1122000</v>
      </c>
    </row>
    <row r="14" spans="2:27" x14ac:dyDescent="0.25">
      <c r="B14" s="57">
        <v>10</v>
      </c>
      <c r="C14" s="60" t="s">
        <v>31</v>
      </c>
      <c r="D14" s="59" t="s">
        <v>3</v>
      </c>
      <c r="E14" s="61"/>
      <c r="F14" s="59"/>
      <c r="G14" s="61">
        <v>1</v>
      </c>
      <c r="H14" s="61"/>
      <c r="I14" s="61" t="s">
        <v>53</v>
      </c>
      <c r="J14" s="57"/>
      <c r="K14" s="61" t="s">
        <v>23</v>
      </c>
      <c r="L14" s="70">
        <v>232</v>
      </c>
      <c r="M14" s="70">
        <v>22</v>
      </c>
      <c r="N14" s="70">
        <v>0</v>
      </c>
      <c r="O14" s="70">
        <v>0</v>
      </c>
      <c r="P14" s="62">
        <v>254</v>
      </c>
      <c r="Q14" s="62">
        <v>1027019.7132616488</v>
      </c>
      <c r="R14" s="62">
        <f t="shared" si="0"/>
        <v>4043.3846978805068</v>
      </c>
      <c r="S14" s="62">
        <f t="shared" si="1"/>
        <v>32347.077583044054</v>
      </c>
      <c r="T14" s="62">
        <v>50000</v>
      </c>
      <c r="U14" s="62">
        <v>31750</v>
      </c>
      <c r="V14" s="62">
        <v>50000</v>
      </c>
      <c r="W14" s="62">
        <v>95250</v>
      </c>
      <c r="X14" s="62">
        <v>0</v>
      </c>
      <c r="Y14" s="62">
        <v>50000</v>
      </c>
      <c r="Z14" s="62">
        <v>0</v>
      </c>
      <c r="AA14" s="62">
        <v>1304500</v>
      </c>
    </row>
    <row r="15" spans="2:27" x14ac:dyDescent="0.25">
      <c r="B15" s="57">
        <v>11</v>
      </c>
      <c r="C15" s="60" t="s">
        <v>32</v>
      </c>
      <c r="D15" s="59" t="s">
        <v>3</v>
      </c>
      <c r="E15" s="57" t="s">
        <v>52</v>
      </c>
      <c r="F15" s="59"/>
      <c r="G15" s="61">
        <v>1</v>
      </c>
      <c r="H15" s="61"/>
      <c r="I15" s="61"/>
      <c r="J15" s="57"/>
      <c r="K15" s="61"/>
      <c r="L15" s="70">
        <v>205</v>
      </c>
      <c r="M15" s="70">
        <v>4</v>
      </c>
      <c r="N15" s="70">
        <v>1</v>
      </c>
      <c r="O15" s="70">
        <v>0</v>
      </c>
      <c r="P15" s="62">
        <v>210</v>
      </c>
      <c r="Q15" s="62">
        <v>850759.40860215051</v>
      </c>
      <c r="R15" s="62">
        <f t="shared" si="0"/>
        <v>4051.2352790578598</v>
      </c>
      <c r="S15" s="62">
        <f t="shared" si="1"/>
        <v>32409.882232462878</v>
      </c>
      <c r="T15" s="62">
        <v>0</v>
      </c>
      <c r="U15" s="62">
        <v>26250</v>
      </c>
      <c r="V15" s="62">
        <v>50000</v>
      </c>
      <c r="W15" s="62">
        <v>52500</v>
      </c>
      <c r="X15" s="62">
        <v>0</v>
      </c>
      <c r="Y15" s="62">
        <v>0</v>
      </c>
      <c r="Z15" s="62">
        <v>3000</v>
      </c>
      <c r="AA15" s="62">
        <v>983000</v>
      </c>
    </row>
    <row r="16" spans="2:27" x14ac:dyDescent="0.25">
      <c r="B16" s="57">
        <v>12</v>
      </c>
      <c r="C16" s="60" t="s">
        <v>35</v>
      </c>
      <c r="D16" s="59" t="s">
        <v>25</v>
      </c>
      <c r="E16" s="57" t="s">
        <v>52</v>
      </c>
      <c r="F16" s="77"/>
      <c r="G16" s="77"/>
      <c r="H16" s="77"/>
      <c r="I16" s="61"/>
      <c r="J16" s="77"/>
      <c r="K16" s="77"/>
      <c r="L16" s="70">
        <v>4</v>
      </c>
      <c r="M16" s="70">
        <v>32</v>
      </c>
      <c r="N16" s="70">
        <v>170</v>
      </c>
      <c r="O16" s="70">
        <v>0</v>
      </c>
      <c r="P16" s="62">
        <v>206</v>
      </c>
      <c r="Q16" s="62">
        <v>809917.56272401428</v>
      </c>
      <c r="R16" s="62">
        <f t="shared" si="0"/>
        <v>3931.6386540000694</v>
      </c>
      <c r="S16" s="62">
        <f t="shared" si="1"/>
        <v>31453.109232000555</v>
      </c>
      <c r="T16" s="62">
        <v>0</v>
      </c>
      <c r="U16" s="62">
        <v>25750</v>
      </c>
      <c r="V16" s="62">
        <v>0</v>
      </c>
      <c r="W16" s="62">
        <v>0</v>
      </c>
      <c r="X16" s="62">
        <v>0</v>
      </c>
      <c r="Y16" s="62">
        <v>0</v>
      </c>
      <c r="Z16" s="62">
        <v>1000</v>
      </c>
      <c r="AA16" s="62">
        <v>837000</v>
      </c>
    </row>
    <row r="17" spans="2:27" x14ac:dyDescent="0.25">
      <c r="B17" s="57">
        <v>13</v>
      </c>
      <c r="C17" s="60" t="s">
        <v>36</v>
      </c>
      <c r="D17" s="59" t="s">
        <v>25</v>
      </c>
      <c r="E17" s="57" t="s">
        <v>52</v>
      </c>
      <c r="F17" s="77"/>
      <c r="G17" s="77"/>
      <c r="H17" s="77"/>
      <c r="I17" s="61" t="s">
        <v>50</v>
      </c>
      <c r="J17" s="77"/>
      <c r="K17" s="77"/>
      <c r="L17" s="70">
        <v>8</v>
      </c>
      <c r="M17" s="70">
        <v>33</v>
      </c>
      <c r="N17" s="70">
        <v>30</v>
      </c>
      <c r="O17" s="70">
        <v>0</v>
      </c>
      <c r="P17" s="62">
        <v>71</v>
      </c>
      <c r="Q17" s="62">
        <v>279974.01433691755</v>
      </c>
      <c r="R17" s="62">
        <f t="shared" si="0"/>
        <v>3943.2959765763035</v>
      </c>
      <c r="S17" s="62">
        <f t="shared" si="1"/>
        <v>31546.367812610428</v>
      </c>
      <c r="T17" s="62">
        <v>0</v>
      </c>
      <c r="U17" s="62">
        <v>8875</v>
      </c>
      <c r="V17" s="62">
        <v>0</v>
      </c>
      <c r="W17" s="62">
        <v>0</v>
      </c>
      <c r="X17" s="62">
        <v>0</v>
      </c>
      <c r="Y17" s="62">
        <v>0</v>
      </c>
      <c r="Z17" s="62">
        <v>0</v>
      </c>
      <c r="AA17" s="62">
        <v>289000</v>
      </c>
    </row>
    <row r="18" spans="2:27" x14ac:dyDescent="0.25">
      <c r="B18" s="55"/>
      <c r="C18" s="78"/>
      <c r="D18" s="78"/>
      <c r="E18" s="55"/>
      <c r="F18" s="78"/>
      <c r="G18" s="56"/>
      <c r="H18" s="56"/>
      <c r="I18" s="56"/>
      <c r="J18" s="55"/>
      <c r="K18" s="56"/>
      <c r="L18" s="79">
        <v>744</v>
      </c>
      <c r="M18" s="79">
        <v>744</v>
      </c>
      <c r="N18" s="79">
        <v>744</v>
      </c>
      <c r="O18" s="79">
        <v>0</v>
      </c>
      <c r="P18" s="79">
        <v>2232</v>
      </c>
      <c r="Q18" s="79">
        <v>8863000</v>
      </c>
      <c r="R18" s="79"/>
      <c r="S18" s="79"/>
      <c r="T18" s="79">
        <v>450000</v>
      </c>
      <c r="U18" s="79">
        <v>279000</v>
      </c>
      <c r="V18" s="79">
        <v>650000</v>
      </c>
      <c r="W18" s="79">
        <v>435625</v>
      </c>
      <c r="X18" s="79">
        <v>0</v>
      </c>
      <c r="Y18" s="79">
        <v>290000</v>
      </c>
      <c r="Z18" s="79">
        <v>2017000</v>
      </c>
      <c r="AA18" s="79">
        <v>12988500</v>
      </c>
    </row>
    <row r="21" spans="2:27" x14ac:dyDescent="0.25">
      <c r="B21" s="50"/>
      <c r="C21" s="50"/>
      <c r="D21" s="50"/>
      <c r="E21" s="50"/>
      <c r="F21" s="50"/>
      <c r="G21" s="50"/>
      <c r="H21" s="50"/>
      <c r="I21" s="50"/>
      <c r="J21" s="50"/>
      <c r="K21" s="80" t="s">
        <v>60</v>
      </c>
      <c r="L21" s="80" t="s">
        <v>61</v>
      </c>
      <c r="M21" s="8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</row>
    <row r="22" spans="2:27" x14ac:dyDescent="0.25">
      <c r="B22" s="50"/>
      <c r="C22" s="50"/>
      <c r="D22" s="50"/>
      <c r="E22" s="50"/>
      <c r="F22" s="50"/>
      <c r="G22" s="50"/>
      <c r="H22" s="50"/>
      <c r="I22" s="50"/>
      <c r="J22" s="50"/>
      <c r="K22" s="50">
        <v>32000</v>
      </c>
      <c r="L22" s="50">
        <v>31000</v>
      </c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</row>
    <row r="23" spans="2:27" ht="33.75" x14ac:dyDescent="0.25">
      <c r="B23" s="55" t="s">
        <v>1</v>
      </c>
      <c r="C23" s="55" t="s">
        <v>2</v>
      </c>
      <c r="D23" s="56" t="s">
        <v>3</v>
      </c>
      <c r="E23" s="55" t="s">
        <v>52</v>
      </c>
      <c r="F23" s="55" t="s">
        <v>57</v>
      </c>
      <c r="G23" s="55" t="s">
        <v>58</v>
      </c>
      <c r="H23" s="55" t="s">
        <v>7</v>
      </c>
      <c r="I23" s="55" t="s">
        <v>8</v>
      </c>
      <c r="J23" s="55" t="s">
        <v>9</v>
      </c>
      <c r="K23" s="55" t="s">
        <v>10</v>
      </c>
      <c r="L23" s="55" t="s">
        <v>11</v>
      </c>
      <c r="M23" s="55" t="s">
        <v>62</v>
      </c>
      <c r="N23" s="55" t="s">
        <v>12</v>
      </c>
      <c r="O23" s="55"/>
      <c r="P23" s="55" t="s">
        <v>13</v>
      </c>
      <c r="Q23" s="55"/>
      <c r="R23" s="55" t="s">
        <v>14</v>
      </c>
      <c r="S23" s="55" t="s">
        <v>15</v>
      </c>
      <c r="T23" s="55" t="s">
        <v>16</v>
      </c>
      <c r="U23" s="55" t="s">
        <v>55</v>
      </c>
      <c r="V23" s="55" t="s">
        <v>56</v>
      </c>
      <c r="W23" s="55" t="s">
        <v>4</v>
      </c>
      <c r="X23" s="55" t="s">
        <v>5</v>
      </c>
      <c r="Y23" s="55" t="s">
        <v>6</v>
      </c>
    </row>
    <row r="24" spans="2:27" x14ac:dyDescent="0.25">
      <c r="B24" s="57">
        <v>1</v>
      </c>
      <c r="C24" s="58" t="s">
        <v>22</v>
      </c>
      <c r="D24" s="81" t="s">
        <v>3</v>
      </c>
      <c r="E24" s="54">
        <v>4</v>
      </c>
      <c r="F24" s="54">
        <v>4</v>
      </c>
      <c r="G24" s="54">
        <v>2</v>
      </c>
      <c r="H24" s="81" t="s">
        <v>59</v>
      </c>
      <c r="I24" s="54"/>
      <c r="J24" s="54"/>
      <c r="K24" s="54"/>
      <c r="L24" s="54">
        <v>32</v>
      </c>
      <c r="M24" s="54">
        <f>$K$22/8*L24</f>
        <v>128000</v>
      </c>
      <c r="N24" s="54">
        <v>10</v>
      </c>
      <c r="O24" s="54">
        <f>$L$22/8*N24</f>
        <v>38750</v>
      </c>
      <c r="P24" s="54">
        <v>152</v>
      </c>
      <c r="Q24" s="54">
        <f>$L$22/8*P24</f>
        <v>589000</v>
      </c>
      <c r="R24" s="54"/>
      <c r="S24" s="54">
        <f>L24+N24+P24</f>
        <v>194</v>
      </c>
      <c r="T24" s="54">
        <f>M24+O24+Q24</f>
        <v>755750</v>
      </c>
      <c r="U24" s="54"/>
      <c r="V24" s="54"/>
      <c r="W24" s="54"/>
      <c r="X24" s="54"/>
      <c r="Y24" s="54"/>
    </row>
    <row r="25" spans="2:27" x14ac:dyDescent="0.25">
      <c r="B25" s="63">
        <v>2</v>
      </c>
      <c r="C25" s="64" t="s">
        <v>49</v>
      </c>
      <c r="D25" s="54"/>
      <c r="E25" s="54"/>
      <c r="F25" s="54"/>
      <c r="G25" s="54"/>
      <c r="H25" s="54"/>
      <c r="I25" s="54"/>
      <c r="J25" s="54"/>
      <c r="K25" s="54"/>
      <c r="L25" s="67">
        <v>16</v>
      </c>
      <c r="M25" s="54">
        <f t="shared" ref="M25:M36" si="2">$K$22/8*L25</f>
        <v>64000</v>
      </c>
      <c r="N25" s="67">
        <v>59</v>
      </c>
      <c r="O25" s="54">
        <f t="shared" ref="O25:O36" si="3">$L$22/8*N25</f>
        <v>228625</v>
      </c>
      <c r="P25" s="67">
        <v>40</v>
      </c>
      <c r="Q25" s="54">
        <f t="shared" ref="Q25:Q36" si="4">$L$22/8*P25</f>
        <v>155000</v>
      </c>
      <c r="R25" s="54"/>
      <c r="S25" s="54">
        <f t="shared" ref="S25:S36" si="5">L25+N25+P25</f>
        <v>115</v>
      </c>
      <c r="T25" s="54">
        <f t="shared" ref="T25:T36" si="6">M25+O25+Q25</f>
        <v>447625</v>
      </c>
      <c r="U25" s="54"/>
      <c r="V25" s="54"/>
      <c r="W25" s="54"/>
      <c r="X25" s="54"/>
      <c r="Y25" s="54"/>
    </row>
    <row r="26" spans="2:27" x14ac:dyDescent="0.25">
      <c r="B26" s="57">
        <v>3</v>
      </c>
      <c r="C26" s="60" t="s">
        <v>24</v>
      </c>
      <c r="D26" s="54"/>
      <c r="E26" s="54"/>
      <c r="F26" s="54"/>
      <c r="G26" s="54"/>
      <c r="H26" s="54"/>
      <c r="I26" s="54"/>
      <c r="J26" s="54"/>
      <c r="K26" s="54"/>
      <c r="L26" s="70">
        <v>202</v>
      </c>
      <c r="M26" s="54">
        <f t="shared" si="2"/>
        <v>808000</v>
      </c>
      <c r="N26" s="70">
        <v>6</v>
      </c>
      <c r="O26" s="54">
        <f t="shared" si="3"/>
        <v>23250</v>
      </c>
      <c r="P26" s="70">
        <v>8</v>
      </c>
      <c r="Q26" s="54">
        <f t="shared" si="4"/>
        <v>31000</v>
      </c>
      <c r="R26" s="54"/>
      <c r="S26" s="54">
        <f t="shared" si="5"/>
        <v>216</v>
      </c>
      <c r="T26" s="54">
        <f t="shared" si="6"/>
        <v>862250</v>
      </c>
      <c r="U26" s="54"/>
      <c r="V26" s="54"/>
      <c r="W26" s="54"/>
      <c r="X26" s="54"/>
      <c r="Y26" s="54"/>
    </row>
    <row r="27" spans="2:27" x14ac:dyDescent="0.25">
      <c r="B27" s="57">
        <v>4</v>
      </c>
      <c r="C27" s="59" t="s">
        <v>54</v>
      </c>
      <c r="D27" s="54"/>
      <c r="E27" s="54"/>
      <c r="F27" s="54"/>
      <c r="G27" s="54"/>
      <c r="H27" s="54"/>
      <c r="I27" s="54"/>
      <c r="J27" s="54"/>
      <c r="K27" s="54"/>
      <c r="L27" s="70">
        <v>0</v>
      </c>
      <c r="M27" s="54">
        <f t="shared" si="2"/>
        <v>0</v>
      </c>
      <c r="N27" s="70">
        <v>136</v>
      </c>
      <c r="O27" s="54">
        <f t="shared" si="3"/>
        <v>527000</v>
      </c>
      <c r="P27" s="70">
        <v>72</v>
      </c>
      <c r="Q27" s="54">
        <f t="shared" si="4"/>
        <v>279000</v>
      </c>
      <c r="R27" s="54"/>
      <c r="S27" s="54">
        <f t="shared" si="5"/>
        <v>208</v>
      </c>
      <c r="T27" s="54">
        <f t="shared" si="6"/>
        <v>806000</v>
      </c>
      <c r="U27" s="54"/>
      <c r="V27" s="54"/>
      <c r="W27" s="54"/>
      <c r="X27" s="54"/>
      <c r="Y27" s="54"/>
    </row>
    <row r="28" spans="2:27" x14ac:dyDescent="0.25">
      <c r="B28" s="71">
        <v>5</v>
      </c>
      <c r="C28" s="72" t="s">
        <v>26</v>
      </c>
      <c r="D28" s="54"/>
      <c r="E28" s="54"/>
      <c r="F28" s="54"/>
      <c r="G28" s="54"/>
      <c r="H28" s="54"/>
      <c r="I28" s="54"/>
      <c r="J28" s="54"/>
      <c r="K28" s="54"/>
      <c r="L28" s="74">
        <v>4</v>
      </c>
      <c r="M28" s="54">
        <f t="shared" si="2"/>
        <v>16000</v>
      </c>
      <c r="N28" s="74">
        <v>0</v>
      </c>
      <c r="O28" s="54">
        <f t="shared" si="3"/>
        <v>0</v>
      </c>
      <c r="P28" s="74">
        <v>109</v>
      </c>
      <c r="Q28" s="54">
        <f t="shared" si="4"/>
        <v>422375</v>
      </c>
      <c r="R28" s="54"/>
      <c r="S28" s="54">
        <f t="shared" si="5"/>
        <v>113</v>
      </c>
      <c r="T28" s="54">
        <f t="shared" si="6"/>
        <v>438375</v>
      </c>
      <c r="U28" s="54"/>
      <c r="V28" s="54"/>
      <c r="W28" s="54"/>
      <c r="X28" s="54"/>
      <c r="Y28" s="54"/>
    </row>
    <row r="29" spans="2:27" x14ac:dyDescent="0.25">
      <c r="B29" s="71">
        <v>6</v>
      </c>
      <c r="C29" s="76" t="s">
        <v>27</v>
      </c>
      <c r="D29" s="54"/>
      <c r="E29" s="54"/>
      <c r="F29" s="54"/>
      <c r="G29" s="54"/>
      <c r="H29" s="54"/>
      <c r="I29" s="54"/>
      <c r="J29" s="54"/>
      <c r="K29" s="54"/>
      <c r="L29" s="74">
        <v>0</v>
      </c>
      <c r="M29" s="54">
        <f t="shared" si="2"/>
        <v>0</v>
      </c>
      <c r="N29" s="74">
        <v>84</v>
      </c>
      <c r="O29" s="54">
        <f t="shared" si="3"/>
        <v>325500</v>
      </c>
      <c r="P29" s="74">
        <v>2</v>
      </c>
      <c r="Q29" s="54">
        <f t="shared" si="4"/>
        <v>7750</v>
      </c>
      <c r="R29" s="54"/>
      <c r="S29" s="54">
        <f t="shared" si="5"/>
        <v>86</v>
      </c>
      <c r="T29" s="54">
        <f t="shared" si="6"/>
        <v>333250</v>
      </c>
      <c r="U29" s="54"/>
      <c r="V29" s="54"/>
      <c r="W29" s="54"/>
      <c r="X29" s="54"/>
      <c r="Y29" s="54"/>
    </row>
    <row r="30" spans="2:27" x14ac:dyDescent="0.25">
      <c r="B30" s="71">
        <v>7</v>
      </c>
      <c r="C30" s="76" t="s">
        <v>28</v>
      </c>
      <c r="D30" s="54"/>
      <c r="E30" s="54"/>
      <c r="F30" s="54"/>
      <c r="G30" s="54"/>
      <c r="H30" s="54"/>
      <c r="I30" s="54"/>
      <c r="J30" s="54"/>
      <c r="K30" s="54"/>
      <c r="L30" s="74">
        <v>0</v>
      </c>
      <c r="M30" s="54">
        <f t="shared" si="2"/>
        <v>0</v>
      </c>
      <c r="N30" s="74">
        <v>134</v>
      </c>
      <c r="O30" s="54">
        <f t="shared" si="3"/>
        <v>519250</v>
      </c>
      <c r="P30" s="74">
        <v>11</v>
      </c>
      <c r="Q30" s="54">
        <f t="shared" si="4"/>
        <v>42625</v>
      </c>
      <c r="R30" s="54"/>
      <c r="S30" s="54">
        <f t="shared" si="5"/>
        <v>145</v>
      </c>
      <c r="T30" s="54">
        <f t="shared" si="6"/>
        <v>561875</v>
      </c>
      <c r="U30" s="54"/>
      <c r="V30" s="54"/>
      <c r="W30" s="54"/>
      <c r="X30" s="54"/>
      <c r="Y30" s="54"/>
    </row>
    <row r="31" spans="2:27" x14ac:dyDescent="0.25">
      <c r="B31" s="71">
        <v>8</v>
      </c>
      <c r="C31" s="76" t="s">
        <v>29</v>
      </c>
      <c r="D31" s="54"/>
      <c r="E31" s="54"/>
      <c r="F31" s="54"/>
      <c r="G31" s="54"/>
      <c r="H31" s="54"/>
      <c r="I31" s="54"/>
      <c r="J31" s="54"/>
      <c r="K31" s="54"/>
      <c r="L31" s="74">
        <v>41</v>
      </c>
      <c r="M31" s="54">
        <f t="shared" si="2"/>
        <v>164000</v>
      </c>
      <c r="N31" s="74">
        <v>8</v>
      </c>
      <c r="O31" s="54">
        <f t="shared" si="3"/>
        <v>31000</v>
      </c>
      <c r="P31" s="74">
        <v>135</v>
      </c>
      <c r="Q31" s="54">
        <f t="shared" si="4"/>
        <v>523125</v>
      </c>
      <c r="R31" s="54"/>
      <c r="S31" s="54">
        <f t="shared" si="5"/>
        <v>184</v>
      </c>
      <c r="T31" s="54">
        <f t="shared" si="6"/>
        <v>718125</v>
      </c>
      <c r="U31" s="54"/>
      <c r="V31" s="54"/>
      <c r="W31" s="54"/>
      <c r="X31" s="54"/>
      <c r="Y31" s="54"/>
    </row>
    <row r="32" spans="2:27" x14ac:dyDescent="0.25">
      <c r="B32" s="57">
        <v>9</v>
      </c>
      <c r="C32" s="60" t="s">
        <v>30</v>
      </c>
      <c r="D32" s="54"/>
      <c r="E32" s="54"/>
      <c r="F32" s="54"/>
      <c r="G32" s="54"/>
      <c r="H32" s="54"/>
      <c r="I32" s="54"/>
      <c r="J32" s="54"/>
      <c r="K32" s="54"/>
      <c r="L32" s="70">
        <v>0</v>
      </c>
      <c r="M32" s="54">
        <f t="shared" si="2"/>
        <v>0</v>
      </c>
      <c r="N32" s="70">
        <v>216</v>
      </c>
      <c r="O32" s="54">
        <f t="shared" si="3"/>
        <v>837000</v>
      </c>
      <c r="P32" s="70">
        <v>14</v>
      </c>
      <c r="Q32" s="54">
        <f t="shared" si="4"/>
        <v>54250</v>
      </c>
      <c r="R32" s="54"/>
      <c r="S32" s="54">
        <f t="shared" si="5"/>
        <v>230</v>
      </c>
      <c r="T32" s="54">
        <f t="shared" si="6"/>
        <v>891250</v>
      </c>
      <c r="U32" s="54"/>
      <c r="V32" s="54"/>
      <c r="W32" s="54"/>
      <c r="X32" s="54"/>
      <c r="Y32" s="54"/>
    </row>
    <row r="33" spans="2:25" x14ac:dyDescent="0.25">
      <c r="B33" s="57">
        <v>10</v>
      </c>
      <c r="C33" s="60" t="s">
        <v>31</v>
      </c>
      <c r="D33" s="54"/>
      <c r="E33" s="54"/>
      <c r="F33" s="54"/>
      <c r="G33" s="54"/>
      <c r="H33" s="54"/>
      <c r="I33" s="54"/>
      <c r="J33" s="54"/>
      <c r="K33" s="54"/>
      <c r="L33" s="70">
        <v>232</v>
      </c>
      <c r="M33" s="54">
        <f t="shared" si="2"/>
        <v>928000</v>
      </c>
      <c r="N33" s="70">
        <v>22</v>
      </c>
      <c r="O33" s="54">
        <f t="shared" si="3"/>
        <v>85250</v>
      </c>
      <c r="P33" s="70">
        <v>0</v>
      </c>
      <c r="Q33" s="54">
        <f t="shared" si="4"/>
        <v>0</v>
      </c>
      <c r="R33" s="54"/>
      <c r="S33" s="54">
        <f t="shared" si="5"/>
        <v>254</v>
      </c>
      <c r="T33" s="54">
        <f t="shared" si="6"/>
        <v>1013250</v>
      </c>
      <c r="U33" s="54"/>
      <c r="V33" s="54"/>
      <c r="W33" s="54"/>
      <c r="X33" s="54"/>
      <c r="Y33" s="54"/>
    </row>
    <row r="34" spans="2:25" x14ac:dyDescent="0.25">
      <c r="B34" s="57">
        <v>11</v>
      </c>
      <c r="C34" s="60" t="s">
        <v>32</v>
      </c>
      <c r="D34" s="54"/>
      <c r="E34" s="54"/>
      <c r="F34" s="54"/>
      <c r="G34" s="54"/>
      <c r="H34" s="54"/>
      <c r="I34" s="54"/>
      <c r="J34" s="54"/>
      <c r="K34" s="54"/>
      <c r="L34" s="70">
        <v>205</v>
      </c>
      <c r="M34" s="54">
        <f t="shared" si="2"/>
        <v>820000</v>
      </c>
      <c r="N34" s="70">
        <v>4</v>
      </c>
      <c r="O34" s="54">
        <f t="shared" si="3"/>
        <v>15500</v>
      </c>
      <c r="P34" s="70">
        <v>1</v>
      </c>
      <c r="Q34" s="54">
        <f t="shared" si="4"/>
        <v>3875</v>
      </c>
      <c r="R34" s="54"/>
      <c r="S34" s="54">
        <f t="shared" si="5"/>
        <v>210</v>
      </c>
      <c r="T34" s="54">
        <f t="shared" si="6"/>
        <v>839375</v>
      </c>
      <c r="U34" s="54"/>
      <c r="V34" s="54"/>
      <c r="W34" s="54"/>
      <c r="X34" s="54"/>
      <c r="Y34" s="54"/>
    </row>
    <row r="35" spans="2:25" x14ac:dyDescent="0.25">
      <c r="B35" s="57">
        <v>12</v>
      </c>
      <c r="C35" s="60" t="s">
        <v>35</v>
      </c>
      <c r="D35" s="54"/>
      <c r="E35" s="54"/>
      <c r="F35" s="54"/>
      <c r="G35" s="54"/>
      <c r="H35" s="54"/>
      <c r="I35" s="54"/>
      <c r="J35" s="54"/>
      <c r="K35" s="54"/>
      <c r="L35" s="70">
        <v>4</v>
      </c>
      <c r="M35" s="54">
        <f t="shared" si="2"/>
        <v>16000</v>
      </c>
      <c r="N35" s="70">
        <v>32</v>
      </c>
      <c r="O35" s="54">
        <f t="shared" si="3"/>
        <v>124000</v>
      </c>
      <c r="P35" s="70">
        <v>170</v>
      </c>
      <c r="Q35" s="54">
        <f t="shared" si="4"/>
        <v>658750</v>
      </c>
      <c r="R35" s="54"/>
      <c r="S35" s="54">
        <f t="shared" si="5"/>
        <v>206</v>
      </c>
      <c r="T35" s="54">
        <f t="shared" si="6"/>
        <v>798750</v>
      </c>
      <c r="U35" s="54"/>
      <c r="V35" s="54"/>
      <c r="W35" s="54"/>
      <c r="X35" s="54"/>
      <c r="Y35" s="54"/>
    </row>
    <row r="36" spans="2:25" x14ac:dyDescent="0.25">
      <c r="B36" s="57">
        <v>13</v>
      </c>
      <c r="C36" s="60" t="s">
        <v>36</v>
      </c>
      <c r="D36" s="54"/>
      <c r="E36" s="54"/>
      <c r="F36" s="54"/>
      <c r="G36" s="54"/>
      <c r="H36" s="54"/>
      <c r="I36" s="54"/>
      <c r="J36" s="54"/>
      <c r="K36" s="54"/>
      <c r="L36" s="70">
        <v>8</v>
      </c>
      <c r="M36" s="54">
        <f t="shared" si="2"/>
        <v>32000</v>
      </c>
      <c r="N36" s="70">
        <v>33</v>
      </c>
      <c r="O36" s="54">
        <f t="shared" si="3"/>
        <v>127875</v>
      </c>
      <c r="P36" s="70">
        <v>30</v>
      </c>
      <c r="Q36" s="54">
        <f t="shared" si="4"/>
        <v>116250</v>
      </c>
      <c r="R36" s="54"/>
      <c r="S36" s="54">
        <f t="shared" si="5"/>
        <v>71</v>
      </c>
      <c r="T36" s="54">
        <f t="shared" si="6"/>
        <v>276125</v>
      </c>
      <c r="U36" s="54"/>
      <c r="V36" s="54"/>
      <c r="W36" s="54"/>
      <c r="X36" s="54"/>
      <c r="Y36" s="54"/>
    </row>
    <row r="37" spans="2:25" x14ac:dyDescent="0.25">
      <c r="B37" s="55"/>
      <c r="C37" s="78"/>
      <c r="D37" s="82"/>
      <c r="E37" s="82"/>
      <c r="F37" s="82"/>
      <c r="G37" s="82"/>
      <c r="H37" s="82"/>
      <c r="I37" s="82"/>
      <c r="J37" s="82"/>
      <c r="K37" s="82"/>
      <c r="L37" s="82">
        <f t="shared" ref="L37:Q37" si="7">SUM(L24:L36)</f>
        <v>744</v>
      </c>
      <c r="M37" s="82">
        <f t="shared" si="7"/>
        <v>2976000</v>
      </c>
      <c r="N37" s="82">
        <f t="shared" si="7"/>
        <v>744</v>
      </c>
      <c r="O37" s="82">
        <f t="shared" si="7"/>
        <v>2883000</v>
      </c>
      <c r="P37" s="82">
        <f t="shared" si="7"/>
        <v>744</v>
      </c>
      <c r="Q37" s="82">
        <f t="shared" si="7"/>
        <v>2883000</v>
      </c>
      <c r="R37" s="82"/>
      <c r="S37" s="82">
        <f>SUM(S24:S36)</f>
        <v>2232</v>
      </c>
      <c r="T37" s="82">
        <f>SUM(T24:T36)</f>
        <v>8742000</v>
      </c>
      <c r="U37" s="82"/>
      <c r="V37" s="82"/>
      <c r="W37" s="82"/>
      <c r="X37" s="82"/>
      <c r="Y37" s="8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12" sqref="A12"/>
    </sheetView>
  </sheetViews>
  <sheetFormatPr defaultRowHeight="15" x14ac:dyDescent="0.25"/>
  <cols>
    <col min="9" max="9" width="18.140625" bestFit="1" customWidth="1"/>
  </cols>
  <sheetData>
    <row r="1" spans="1:10" x14ac:dyDescent="0.25">
      <c r="A1" t="s">
        <v>42</v>
      </c>
    </row>
    <row r="2" spans="1:10" x14ac:dyDescent="0.25">
      <c r="A2" t="s">
        <v>43</v>
      </c>
      <c r="B2" t="s">
        <v>44</v>
      </c>
      <c r="F2" s="44" t="s">
        <v>45</v>
      </c>
      <c r="I2" s="44" t="s">
        <v>46</v>
      </c>
      <c r="J2" s="44" t="s">
        <v>47</v>
      </c>
    </row>
    <row r="3" spans="1:10" x14ac:dyDescent="0.25">
      <c r="A3">
        <v>35000</v>
      </c>
      <c r="B3">
        <v>34000</v>
      </c>
      <c r="F3">
        <v>0</v>
      </c>
      <c r="I3" s="47">
        <f>Sheet1!B3</f>
        <v>45505</v>
      </c>
    </row>
    <row r="4" spans="1:10" x14ac:dyDescent="0.25">
      <c r="I4" s="48">
        <f>EOMONTH(I3,0)</f>
        <v>45535</v>
      </c>
      <c r="J4">
        <v>3</v>
      </c>
    </row>
    <row r="6" spans="1:10" x14ac:dyDescent="0.25">
      <c r="A6">
        <v>33000</v>
      </c>
      <c r="B6">
        <v>32000</v>
      </c>
    </row>
    <row r="10" spans="1:10" x14ac:dyDescent="0.25">
      <c r="A10">
        <f>A3*1.5</f>
        <v>52500</v>
      </c>
    </row>
    <row r="11" spans="1:10" x14ac:dyDescent="0.25">
      <c r="A11">
        <f>A10-A3</f>
        <v>17500</v>
      </c>
    </row>
    <row r="12" spans="1:10" x14ac:dyDescent="0.25">
      <c r="A12" s="105">
        <f>A11/8</f>
        <v>2187.5</v>
      </c>
      <c r="B12" s="105" t="s">
        <v>67</v>
      </c>
      <c r="C12" s="105"/>
      <c r="D12" s="105"/>
      <c r="E12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</cp:lastModifiedBy>
  <cp:lastPrinted>2024-09-09T14:06:17Z</cp:lastPrinted>
  <dcterms:created xsi:type="dcterms:W3CDTF">2022-07-05T15:57:31Z</dcterms:created>
  <dcterms:modified xsi:type="dcterms:W3CDTF">2024-09-10T10:00:44Z</dcterms:modified>
</cp:coreProperties>
</file>