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 \"/>
    </mc:Choice>
  </mc:AlternateContent>
  <xr:revisionPtr revIDLastSave="0" documentId="13_ncr:1_{08CC26C9-1E57-4FCF-ADED-3268323A1795}" xr6:coauthVersionLast="45" xr6:coauthVersionMax="45" xr10:uidLastSave="{00000000-0000-0000-0000-000000000000}"/>
  <bookViews>
    <workbookView xWindow="-120" yWindow="-120" windowWidth="15600" windowHeight="11340" activeTab="4" xr2:uid="{00000000-000D-0000-FFFF-FFFF00000000}"/>
  </bookViews>
  <sheets>
    <sheet name="Sheet1" sheetId="1" r:id="rId1"/>
    <sheet name="Sheet2" sheetId="3" r:id="rId2"/>
    <sheet name="Sheet3" sheetId="4" r:id="rId3"/>
    <sheet name="data" sheetId="2" r:id="rId4"/>
    <sheet name="Sheet4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7" i="5" l="1"/>
  <c r="R16" i="5"/>
  <c r="R15" i="5"/>
  <c r="R14" i="5"/>
  <c r="R13" i="5"/>
  <c r="R12" i="5"/>
  <c r="R11" i="5"/>
  <c r="R9" i="5"/>
  <c r="R7" i="5"/>
  <c r="R6" i="5"/>
  <c r="R5" i="5"/>
  <c r="P15" i="5"/>
  <c r="R8" i="5" l="1"/>
  <c r="F28" i="5" l="1"/>
  <c r="F30" i="5" s="1"/>
  <c r="W19" i="5"/>
  <c r="O18" i="5"/>
  <c r="N18" i="5"/>
  <c r="M18" i="5"/>
  <c r="L18" i="5"/>
  <c r="AE17" i="5"/>
  <c r="X17" i="5"/>
  <c r="V17" i="5"/>
  <c r="U17" i="5"/>
  <c r="T17" i="5"/>
  <c r="P17" i="5"/>
  <c r="AD17" i="5" s="1"/>
  <c r="AE16" i="5"/>
  <c r="X16" i="5"/>
  <c r="V16" i="5"/>
  <c r="U16" i="5"/>
  <c r="T16" i="5"/>
  <c r="P16" i="5"/>
  <c r="AD16" i="5" s="1"/>
  <c r="AF16" i="5" s="1"/>
  <c r="AE15" i="5"/>
  <c r="X15" i="5"/>
  <c r="W15" i="5"/>
  <c r="V15" i="5"/>
  <c r="U15" i="5"/>
  <c r="T15" i="5"/>
  <c r="AD15" i="5"/>
  <c r="AE14" i="5"/>
  <c r="X14" i="5"/>
  <c r="W14" i="5"/>
  <c r="V14" i="5"/>
  <c r="T14" i="5"/>
  <c r="P14" i="5"/>
  <c r="AD14" i="5" s="1"/>
  <c r="AE13" i="5"/>
  <c r="X13" i="5"/>
  <c r="W13" i="5"/>
  <c r="V13" i="5"/>
  <c r="T13" i="5"/>
  <c r="P13" i="5"/>
  <c r="AD13" i="5" s="1"/>
  <c r="AE12" i="5"/>
  <c r="X12" i="5"/>
  <c r="W12" i="5"/>
  <c r="V12" i="5"/>
  <c r="T12" i="5"/>
  <c r="P12" i="5"/>
  <c r="AD12" i="5" s="1"/>
  <c r="AE11" i="5"/>
  <c r="W11" i="5"/>
  <c r="V11" i="5"/>
  <c r="T11" i="5"/>
  <c r="P11" i="5"/>
  <c r="AD11" i="5" s="1"/>
  <c r="AE10" i="5"/>
  <c r="W10" i="5"/>
  <c r="V10" i="5"/>
  <c r="T10" i="5"/>
  <c r="P10" i="5"/>
  <c r="AD10" i="5" s="1"/>
  <c r="AF10" i="5" s="1"/>
  <c r="AE9" i="5"/>
  <c r="W9" i="5"/>
  <c r="V9" i="5"/>
  <c r="T9" i="5"/>
  <c r="P9" i="5"/>
  <c r="AD9" i="5" s="1"/>
  <c r="AE8" i="5"/>
  <c r="X8" i="5"/>
  <c r="V8" i="5"/>
  <c r="T8" i="5"/>
  <c r="AD8" i="5"/>
  <c r="AF8" i="5" s="1"/>
  <c r="AE7" i="5"/>
  <c r="X7" i="5"/>
  <c r="W7" i="5"/>
  <c r="V7" i="5"/>
  <c r="U7" i="5"/>
  <c r="T7" i="5"/>
  <c r="P7" i="5"/>
  <c r="AD7" i="5" s="1"/>
  <c r="AE6" i="5"/>
  <c r="X6" i="5"/>
  <c r="V6" i="5"/>
  <c r="P6" i="5"/>
  <c r="AD6" i="5" s="1"/>
  <c r="AE5" i="5"/>
  <c r="X5" i="5"/>
  <c r="W5" i="5"/>
  <c r="V5" i="5"/>
  <c r="T5" i="5"/>
  <c r="P5" i="5"/>
  <c r="U5" i="5" s="1"/>
  <c r="AF12" i="5" l="1"/>
  <c r="AF13" i="5"/>
  <c r="AF6" i="5"/>
  <c r="AF17" i="5"/>
  <c r="U11" i="5"/>
  <c r="AF7" i="5"/>
  <c r="AF11" i="5"/>
  <c r="AF9" i="5"/>
  <c r="P18" i="5"/>
  <c r="F31" i="5" s="1"/>
  <c r="F32" i="5" s="1"/>
  <c r="V18" i="5"/>
  <c r="W18" i="5"/>
  <c r="T18" i="5"/>
  <c r="X18" i="5"/>
  <c r="AF15" i="5"/>
  <c r="U12" i="5"/>
  <c r="AF14" i="5"/>
  <c r="R18" i="5"/>
  <c r="U8" i="5"/>
  <c r="U6" i="5"/>
  <c r="AD5" i="5"/>
  <c r="AF5" i="5" s="1"/>
  <c r="S6" i="5"/>
  <c r="S8" i="5"/>
  <c r="S9" i="5"/>
  <c r="U9" i="5"/>
  <c r="U10" i="5"/>
  <c r="S11" i="5"/>
  <c r="S12" i="5"/>
  <c r="U13" i="5"/>
  <c r="S14" i="5"/>
  <c r="U14" i="5"/>
  <c r="S15" i="5"/>
  <c r="S16" i="5"/>
  <c r="S17" i="5"/>
  <c r="E24" i="5"/>
  <c r="Q5" i="5" s="1"/>
  <c r="F28" i="4"/>
  <c r="F30" i="4" s="1"/>
  <c r="W19" i="4"/>
  <c r="O18" i="4"/>
  <c r="N18" i="4"/>
  <c r="M18" i="4"/>
  <c r="L18" i="4"/>
  <c r="AE17" i="4"/>
  <c r="X17" i="4"/>
  <c r="V17" i="4"/>
  <c r="U17" i="4"/>
  <c r="T17" i="4"/>
  <c r="P17" i="4"/>
  <c r="AD17" i="4" s="1"/>
  <c r="AE16" i="4"/>
  <c r="X16" i="4"/>
  <c r="V16" i="4"/>
  <c r="U16" i="4"/>
  <c r="T16" i="4"/>
  <c r="P16" i="4"/>
  <c r="S16" i="4" s="1"/>
  <c r="AE15" i="4"/>
  <c r="X15" i="4"/>
  <c r="W15" i="4"/>
  <c r="V15" i="4"/>
  <c r="T15" i="4"/>
  <c r="R15" i="4"/>
  <c r="P15" i="4"/>
  <c r="AD15" i="4" s="1"/>
  <c r="AE14" i="4"/>
  <c r="X14" i="4"/>
  <c r="W14" i="4"/>
  <c r="V14" i="4"/>
  <c r="T14" i="4"/>
  <c r="R14" i="4"/>
  <c r="P14" i="4"/>
  <c r="AD14" i="4" s="1"/>
  <c r="AE13" i="4"/>
  <c r="X13" i="4"/>
  <c r="W13" i="4"/>
  <c r="V13" i="4"/>
  <c r="T13" i="4"/>
  <c r="R13" i="4"/>
  <c r="P13" i="4"/>
  <c r="S13" i="4" s="1"/>
  <c r="AE12" i="4"/>
  <c r="X12" i="4"/>
  <c r="W12" i="4"/>
  <c r="V12" i="4"/>
  <c r="T12" i="4"/>
  <c r="R12" i="4"/>
  <c r="P12" i="4"/>
  <c r="S12" i="4" s="1"/>
  <c r="AE11" i="4"/>
  <c r="W11" i="4"/>
  <c r="V11" i="4"/>
  <c r="U11" i="4"/>
  <c r="T11" i="4"/>
  <c r="R11" i="4"/>
  <c r="P11" i="4"/>
  <c r="S11" i="4" s="1"/>
  <c r="AE10" i="4"/>
  <c r="W10" i="4"/>
  <c r="V10" i="4"/>
  <c r="T10" i="4"/>
  <c r="P10" i="4"/>
  <c r="AD10" i="4" s="1"/>
  <c r="AF10" i="4" s="1"/>
  <c r="AE9" i="4"/>
  <c r="W9" i="4"/>
  <c r="V9" i="4"/>
  <c r="T9" i="4"/>
  <c r="R9" i="4"/>
  <c r="P9" i="4"/>
  <c r="AD9" i="4" s="1"/>
  <c r="AF9" i="4" s="1"/>
  <c r="AE8" i="4"/>
  <c r="X8" i="4"/>
  <c r="V8" i="4"/>
  <c r="U8" i="4"/>
  <c r="T8" i="4"/>
  <c r="R8" i="4"/>
  <c r="P8" i="4"/>
  <c r="AD8" i="4" s="1"/>
  <c r="AE7" i="4"/>
  <c r="X7" i="4"/>
  <c r="W7" i="4"/>
  <c r="V7" i="4"/>
  <c r="U7" i="4"/>
  <c r="T7" i="4"/>
  <c r="R7" i="4"/>
  <c r="P7" i="4"/>
  <c r="S7" i="4" s="1"/>
  <c r="AE6" i="4"/>
  <c r="X6" i="4"/>
  <c r="V6" i="4"/>
  <c r="U6" i="4"/>
  <c r="P6" i="4"/>
  <c r="AD6" i="4" s="1"/>
  <c r="AF6" i="4" s="1"/>
  <c r="AE5" i="4"/>
  <c r="X5" i="4"/>
  <c r="W5" i="4"/>
  <c r="V5" i="4"/>
  <c r="T5" i="4"/>
  <c r="R5" i="4"/>
  <c r="P5" i="4"/>
  <c r="AD5" i="4" s="1"/>
  <c r="F28" i="3"/>
  <c r="F30" i="3" s="1"/>
  <c r="W19" i="3"/>
  <c r="O18" i="3"/>
  <c r="N18" i="3"/>
  <c r="M18" i="3"/>
  <c r="L18" i="3"/>
  <c r="AE17" i="3"/>
  <c r="X17" i="3"/>
  <c r="V17" i="3"/>
  <c r="U17" i="3"/>
  <c r="T17" i="3"/>
  <c r="P17" i="3"/>
  <c r="AD17" i="3" s="1"/>
  <c r="AE16" i="3"/>
  <c r="X16" i="3"/>
  <c r="V16" i="3"/>
  <c r="U16" i="3"/>
  <c r="T16" i="3"/>
  <c r="R16" i="3"/>
  <c r="P16" i="3"/>
  <c r="AD16" i="3" s="1"/>
  <c r="AE15" i="3"/>
  <c r="X15" i="3"/>
  <c r="W15" i="3"/>
  <c r="V15" i="3"/>
  <c r="T15" i="3"/>
  <c r="R15" i="3"/>
  <c r="P15" i="3"/>
  <c r="AD15" i="3" s="1"/>
  <c r="AE14" i="3"/>
  <c r="X14" i="3"/>
  <c r="W14" i="3"/>
  <c r="V14" i="3"/>
  <c r="T14" i="3"/>
  <c r="R14" i="3"/>
  <c r="P14" i="3"/>
  <c r="S14" i="3" s="1"/>
  <c r="AE13" i="3"/>
  <c r="X13" i="3"/>
  <c r="W13" i="3"/>
  <c r="V13" i="3"/>
  <c r="T13" i="3"/>
  <c r="R13" i="3"/>
  <c r="P13" i="3"/>
  <c r="S13" i="3" s="1"/>
  <c r="AE12" i="3"/>
  <c r="X12" i="3"/>
  <c r="W12" i="3"/>
  <c r="V12" i="3"/>
  <c r="T12" i="3"/>
  <c r="R12" i="3"/>
  <c r="P12" i="3"/>
  <c r="U12" i="3" s="1"/>
  <c r="AE11" i="3"/>
  <c r="W11" i="3"/>
  <c r="V11" i="3"/>
  <c r="U11" i="3"/>
  <c r="T11" i="3"/>
  <c r="R11" i="3"/>
  <c r="P11" i="3"/>
  <c r="AD11" i="3" s="1"/>
  <c r="AE10" i="3"/>
  <c r="W10" i="3"/>
  <c r="V10" i="3"/>
  <c r="T10" i="3"/>
  <c r="P10" i="3"/>
  <c r="AD10" i="3" s="1"/>
  <c r="AE9" i="3"/>
  <c r="W9" i="3"/>
  <c r="V9" i="3"/>
  <c r="T9" i="3"/>
  <c r="R9" i="3"/>
  <c r="P9" i="3"/>
  <c r="S9" i="3" s="1"/>
  <c r="AE8" i="3"/>
  <c r="X8" i="3"/>
  <c r="V8" i="3"/>
  <c r="U8" i="3"/>
  <c r="T8" i="3"/>
  <c r="R8" i="3"/>
  <c r="P8" i="3"/>
  <c r="S8" i="3" s="1"/>
  <c r="AE7" i="3"/>
  <c r="X7" i="3"/>
  <c r="W7" i="3"/>
  <c r="V7" i="3"/>
  <c r="U7" i="3"/>
  <c r="T7" i="3"/>
  <c r="R7" i="3"/>
  <c r="P7" i="3"/>
  <c r="S7" i="3" s="1"/>
  <c r="AE6" i="3"/>
  <c r="X6" i="3"/>
  <c r="V6" i="3"/>
  <c r="U6" i="3"/>
  <c r="P6" i="3"/>
  <c r="AD6" i="3" s="1"/>
  <c r="AF6" i="3" s="1"/>
  <c r="AE5" i="3"/>
  <c r="X5" i="3"/>
  <c r="W5" i="3"/>
  <c r="V5" i="3"/>
  <c r="T5" i="3"/>
  <c r="R5" i="3"/>
  <c r="P5" i="3"/>
  <c r="AD5" i="3" s="1"/>
  <c r="P6" i="1"/>
  <c r="R17" i="1"/>
  <c r="F28" i="1"/>
  <c r="AF17" i="3" l="1"/>
  <c r="U15" i="3"/>
  <c r="AF5" i="4"/>
  <c r="U10" i="3"/>
  <c r="AF16" i="3"/>
  <c r="AF15" i="3"/>
  <c r="S6" i="4"/>
  <c r="X18" i="3"/>
  <c r="W18" i="3"/>
  <c r="S5" i="4"/>
  <c r="U13" i="4"/>
  <c r="U5" i="3"/>
  <c r="AD8" i="3"/>
  <c r="AF8" i="3" s="1"/>
  <c r="AF10" i="3"/>
  <c r="AF17" i="4"/>
  <c r="U18" i="5"/>
  <c r="Y5" i="5"/>
  <c r="Q17" i="5"/>
  <c r="Y17" i="5" s="1"/>
  <c r="Q16" i="5"/>
  <c r="Y16" i="5" s="1"/>
  <c r="Q15" i="5"/>
  <c r="Y15" i="5" s="1"/>
  <c r="Q14" i="5"/>
  <c r="Y14" i="5" s="1"/>
  <c r="Q13" i="5"/>
  <c r="Y13" i="5" s="1"/>
  <c r="Q12" i="5"/>
  <c r="Y12" i="5" s="1"/>
  <c r="Q11" i="5"/>
  <c r="Y11" i="5" s="1"/>
  <c r="Q10" i="5"/>
  <c r="Y10" i="5" s="1"/>
  <c r="Q9" i="5"/>
  <c r="Y9" i="5" s="1"/>
  <c r="Q8" i="5"/>
  <c r="Y8" i="5" s="1"/>
  <c r="Q7" i="5"/>
  <c r="Y7" i="5" s="1"/>
  <c r="Q6" i="5"/>
  <c r="Y6" i="5" s="1"/>
  <c r="S18" i="5"/>
  <c r="AF15" i="4"/>
  <c r="S15" i="4"/>
  <c r="S14" i="4"/>
  <c r="T18" i="4"/>
  <c r="AF8" i="4"/>
  <c r="AF14" i="4"/>
  <c r="U15" i="4"/>
  <c r="AD16" i="4"/>
  <c r="AF16" i="4" s="1"/>
  <c r="X18" i="4"/>
  <c r="V18" i="4"/>
  <c r="W18" i="4"/>
  <c r="U12" i="4"/>
  <c r="AD12" i="4"/>
  <c r="AF12" i="4" s="1"/>
  <c r="AD11" i="4"/>
  <c r="AF11" i="4" s="1"/>
  <c r="U10" i="4"/>
  <c r="S9" i="4"/>
  <c r="S8" i="4"/>
  <c r="L21" i="4"/>
  <c r="L19" i="4"/>
  <c r="E24" i="4" s="1"/>
  <c r="Q10" i="4" s="1"/>
  <c r="Y10" i="4" s="1"/>
  <c r="R18" i="4"/>
  <c r="S17" i="4"/>
  <c r="U5" i="4"/>
  <c r="AD7" i="4"/>
  <c r="AF7" i="4" s="1"/>
  <c r="U9" i="4"/>
  <c r="AD13" i="4"/>
  <c r="AF13" i="4" s="1"/>
  <c r="U14" i="4"/>
  <c r="P18" i="4"/>
  <c r="F31" i="4" s="1"/>
  <c r="F32" i="4" s="1"/>
  <c r="AF5" i="3"/>
  <c r="S16" i="3"/>
  <c r="S15" i="3"/>
  <c r="U13" i="3"/>
  <c r="AD13" i="3"/>
  <c r="AF13" i="3" s="1"/>
  <c r="AD12" i="3"/>
  <c r="AF12" i="3" s="1"/>
  <c r="S12" i="3"/>
  <c r="AF11" i="3"/>
  <c r="S11" i="3"/>
  <c r="AD9" i="3"/>
  <c r="AF9" i="3" s="1"/>
  <c r="U9" i="3"/>
  <c r="V18" i="3"/>
  <c r="AD7" i="3"/>
  <c r="AF7" i="3" s="1"/>
  <c r="T18" i="3"/>
  <c r="L19" i="3"/>
  <c r="E24" i="3" s="1"/>
  <c r="Q16" i="3" s="1"/>
  <c r="R18" i="3"/>
  <c r="L21" i="3"/>
  <c r="P18" i="3"/>
  <c r="F31" i="3" s="1"/>
  <c r="F32" i="3" s="1"/>
  <c r="S17" i="3"/>
  <c r="U14" i="3"/>
  <c r="S5" i="3"/>
  <c r="S6" i="3"/>
  <c r="AD14" i="3"/>
  <c r="AF14" i="3" s="1"/>
  <c r="I4" i="2"/>
  <c r="I3" i="2"/>
  <c r="Y18" i="5" l="1"/>
  <c r="Q18" i="5"/>
  <c r="S18" i="4"/>
  <c r="Q7" i="4"/>
  <c r="Y7" i="4" s="1"/>
  <c r="Q17" i="4"/>
  <c r="Y17" i="4" s="1"/>
  <c r="Q9" i="4"/>
  <c r="Y9" i="4" s="1"/>
  <c r="Q6" i="4"/>
  <c r="Y6" i="4" s="1"/>
  <c r="Q14" i="4"/>
  <c r="Y14" i="4" s="1"/>
  <c r="Q8" i="4"/>
  <c r="Y8" i="4" s="1"/>
  <c r="Q11" i="4"/>
  <c r="Y11" i="4" s="1"/>
  <c r="Q15" i="4"/>
  <c r="Y15" i="4" s="1"/>
  <c r="Q13" i="4"/>
  <c r="Y13" i="4" s="1"/>
  <c r="Q12" i="4"/>
  <c r="Y12" i="4" s="1"/>
  <c r="Q5" i="4"/>
  <c r="Y5" i="4" s="1"/>
  <c r="Q16" i="4"/>
  <c r="Y16" i="4" s="1"/>
  <c r="U18" i="4"/>
  <c r="Y16" i="3"/>
  <c r="Q15" i="3"/>
  <c r="Y15" i="3" s="1"/>
  <c r="U18" i="3"/>
  <c r="Q17" i="3"/>
  <c r="Y17" i="3" s="1"/>
  <c r="Q10" i="3"/>
  <c r="Y10" i="3" s="1"/>
  <c r="Q11" i="3"/>
  <c r="Y11" i="3" s="1"/>
  <c r="Q9" i="3"/>
  <c r="Y9" i="3" s="1"/>
  <c r="Q14" i="3"/>
  <c r="Q13" i="3"/>
  <c r="Y13" i="3" s="1"/>
  <c r="Q12" i="3"/>
  <c r="Y12" i="3" s="1"/>
  <c r="Q8" i="3"/>
  <c r="Y8" i="3" s="1"/>
  <c r="Q7" i="3"/>
  <c r="Y7" i="3" s="1"/>
  <c r="Q6" i="3"/>
  <c r="Y6" i="3" s="1"/>
  <c r="Q5" i="3"/>
  <c r="S18" i="3"/>
  <c r="Y14" i="3"/>
  <c r="W19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Q18" i="4" l="1"/>
  <c r="Y18" i="4"/>
  <c r="Q18" i="3"/>
  <c r="Y5" i="3"/>
  <c r="Y18" i="3" s="1"/>
  <c r="P10" i="1"/>
  <c r="S10" i="1" s="1"/>
  <c r="AD10" i="1" l="1"/>
  <c r="AF10" i="1" s="1"/>
  <c r="P9" i="1"/>
  <c r="S9" i="1" s="1"/>
  <c r="M18" i="1"/>
  <c r="N18" i="1"/>
  <c r="O18" i="1"/>
  <c r="L18" i="1"/>
  <c r="P7" i="1"/>
  <c r="S7" i="1" s="1"/>
  <c r="P17" i="1"/>
  <c r="S17" i="1" s="1"/>
  <c r="T17" i="1"/>
  <c r="U17" i="1"/>
  <c r="V17" i="1"/>
  <c r="X17" i="1"/>
  <c r="L19" i="1" l="1"/>
  <c r="E24" i="1" s="1"/>
  <c r="L21" i="1"/>
  <c r="AD17" i="1"/>
  <c r="AF17" i="1" s="1"/>
  <c r="AD7" i="1"/>
  <c r="AF7" i="1" s="1"/>
  <c r="AD9" i="1"/>
  <c r="AF9" i="1" s="1"/>
  <c r="X16" i="1"/>
  <c r="V16" i="1"/>
  <c r="U16" i="1"/>
  <c r="T16" i="1"/>
  <c r="R16" i="1"/>
  <c r="P16" i="1"/>
  <c r="S16" i="1" s="1"/>
  <c r="F30" i="1"/>
  <c r="X15" i="1"/>
  <c r="W15" i="1"/>
  <c r="V15" i="1"/>
  <c r="T15" i="1"/>
  <c r="R15" i="1"/>
  <c r="P15" i="1"/>
  <c r="S15" i="1" s="1"/>
  <c r="X14" i="1"/>
  <c r="W14" i="1"/>
  <c r="V14" i="1"/>
  <c r="T14" i="1"/>
  <c r="R14" i="1"/>
  <c r="P14" i="1"/>
  <c r="S14" i="1" s="1"/>
  <c r="X13" i="1"/>
  <c r="W13" i="1"/>
  <c r="V13" i="1"/>
  <c r="T13" i="1"/>
  <c r="R13" i="1"/>
  <c r="P13" i="1"/>
  <c r="X12" i="1"/>
  <c r="W12" i="1"/>
  <c r="V12" i="1"/>
  <c r="T12" i="1"/>
  <c r="R12" i="1"/>
  <c r="P12" i="1"/>
  <c r="S12" i="1" s="1"/>
  <c r="W11" i="1"/>
  <c r="V11" i="1"/>
  <c r="U11" i="1"/>
  <c r="T11" i="1"/>
  <c r="R11" i="1"/>
  <c r="P11" i="1"/>
  <c r="S11" i="1" s="1"/>
  <c r="W10" i="1"/>
  <c r="V10" i="1"/>
  <c r="T10" i="1"/>
  <c r="U10" i="1"/>
  <c r="W9" i="1"/>
  <c r="V9" i="1"/>
  <c r="T9" i="1"/>
  <c r="R9" i="1"/>
  <c r="X8" i="1"/>
  <c r="V8" i="1"/>
  <c r="U8" i="1"/>
  <c r="T8" i="1"/>
  <c r="R8" i="1"/>
  <c r="P8" i="1"/>
  <c r="S8" i="1" s="1"/>
  <c r="X7" i="1"/>
  <c r="W7" i="1"/>
  <c r="V7" i="1"/>
  <c r="T7" i="1"/>
  <c r="R7" i="1"/>
  <c r="X6" i="1"/>
  <c r="V6" i="1"/>
  <c r="S6" i="1"/>
  <c r="X5" i="1"/>
  <c r="W5" i="1"/>
  <c r="V5" i="1"/>
  <c r="T5" i="1"/>
  <c r="R5" i="1"/>
  <c r="P5" i="1"/>
  <c r="S5" i="1" s="1"/>
  <c r="U5" i="1" l="1"/>
  <c r="S13" i="1"/>
  <c r="Q13" i="1"/>
  <c r="X18" i="1"/>
  <c r="U13" i="1"/>
  <c r="Q5" i="1"/>
  <c r="Q16" i="1"/>
  <c r="Y16" i="1" s="1"/>
  <c r="Q10" i="1"/>
  <c r="Q6" i="1"/>
  <c r="Q14" i="1"/>
  <c r="Q9" i="1"/>
  <c r="Q7" i="1"/>
  <c r="Q11" i="1"/>
  <c r="Q8" i="1"/>
  <c r="Q15" i="1"/>
  <c r="Q12" i="1"/>
  <c r="Q17" i="1"/>
  <c r="Y17" i="1" s="1"/>
  <c r="U6" i="1"/>
  <c r="AD16" i="1"/>
  <c r="AF16" i="1" s="1"/>
  <c r="U15" i="1"/>
  <c r="AD15" i="1"/>
  <c r="AF15" i="1" s="1"/>
  <c r="AD14" i="1"/>
  <c r="AF14" i="1" s="1"/>
  <c r="AD13" i="1"/>
  <c r="AF13" i="1" s="1"/>
  <c r="U12" i="1"/>
  <c r="AD12" i="1"/>
  <c r="AF12" i="1" s="1"/>
  <c r="AD11" i="1"/>
  <c r="AF11" i="1" s="1"/>
  <c r="AD8" i="1"/>
  <c r="AF8" i="1" s="1"/>
  <c r="AD6" i="1"/>
  <c r="AF6" i="1" s="1"/>
  <c r="AD5" i="1"/>
  <c r="AF5" i="1" s="1"/>
  <c r="T18" i="1"/>
  <c r="W18" i="1"/>
  <c r="U14" i="1"/>
  <c r="V18" i="1"/>
  <c r="P18" i="1"/>
  <c r="F31" i="1" s="1"/>
  <c r="F32" i="1" s="1"/>
  <c r="R18" i="1"/>
  <c r="U7" i="1"/>
  <c r="U9" i="1"/>
  <c r="U18" i="1" l="1"/>
  <c r="S18" i="1"/>
  <c r="Y14" i="1"/>
  <c r="Y11" i="1"/>
  <c r="Y7" i="1"/>
  <c r="Y9" i="1"/>
  <c r="Y5" i="1" l="1"/>
  <c r="Y6" i="1"/>
  <c r="Y13" i="1"/>
  <c r="Y10" i="1"/>
  <c r="Y15" i="1"/>
  <c r="Y12" i="1"/>
  <c r="Y8" i="1"/>
  <c r="Q18" i="1" l="1"/>
  <c r="Y18" i="1"/>
</calcChain>
</file>

<file path=xl/sharedStrings.xml><?xml version="1.0" encoding="utf-8"?>
<sst xmlns="http://schemas.openxmlformats.org/spreadsheetml/2006/main" count="335" uniqueCount="63">
  <si>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</si>
  <si>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</si>
  <si>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</si>
  <si>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</si>
  <si>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</si>
  <si>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</si>
  <si>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</si>
  <si>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</si>
  <si>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</si>
  <si>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</si>
  <si>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</si>
  <si>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</si>
  <si>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</si>
  <si>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</si>
  <si>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</si>
  <si>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</si>
  <si>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</si>
  <si>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</si>
  <si>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</si>
  <si>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</si>
  <si>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</si>
  <si>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</si>
  <si>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Ali</t>
  </si>
  <si>
    <t>ok</t>
  </si>
  <si>
    <t>Ardian</t>
  </si>
  <si>
    <t>percobaan</t>
  </si>
  <si>
    <t>Yudha</t>
  </si>
  <si>
    <t>Henbediona</t>
  </si>
  <si>
    <t>Anita</t>
  </si>
  <si>
    <t>Reza</t>
  </si>
  <si>
    <t>Ridwan</t>
  </si>
  <si>
    <t>Rini</t>
  </si>
  <si>
    <t>Rizal</t>
  </si>
  <si>
    <t>faktor penambah gaji</t>
  </si>
  <si>
    <t>total jam kerja 1bulan normal</t>
  </si>
  <si>
    <t>Arif</t>
  </si>
  <si>
    <t>bo</t>
  </si>
  <si>
    <t>warnet</t>
  </si>
  <si>
    <t>total jam tutup karena efisiensi</t>
  </si>
  <si>
    <t>Total jam kerja efektif</t>
  </si>
  <si>
    <t>total jam kerja</t>
  </si>
  <si>
    <t>selisih jam kerja (BO/pendampingan/cafe)</t>
  </si>
  <si>
    <t xml:space="preserve">shift </t>
  </si>
  <si>
    <t>satu</t>
  </si>
  <si>
    <t>dua-tiga</t>
  </si>
  <si>
    <t>devaluasi M2</t>
  </si>
  <si>
    <t>jml hari pada bulan</t>
  </si>
  <si>
    <t>jml outlet</t>
  </si>
  <si>
    <t>outlet aktif</t>
  </si>
  <si>
    <t>Iman</t>
  </si>
  <si>
    <t>-</t>
  </si>
  <si>
    <t>meeting</t>
  </si>
  <si>
    <t>+</t>
  </si>
  <si>
    <t>Ajeng</t>
  </si>
  <si>
    <t>gc</t>
  </si>
  <si>
    <t>shift</t>
  </si>
  <si>
    <t>Erwin</t>
  </si>
  <si>
    <t>Percobaan</t>
  </si>
  <si>
    <t>mepet</t>
  </si>
  <si>
    <t>Heru</t>
  </si>
  <si>
    <t>gagal</t>
  </si>
  <si>
    <t>Ronald</t>
  </si>
  <si>
    <t>salsa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</si>
</sst>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-;\-* #,##0_-;_-* &quot;-&quot;_-;_-@_-"/>
    <numFmt numFmtId="165" formatCode="mmmm\-yyyy"/>
    <numFmt numFmtId="166" formatCode="dd"/>
    <numFmt numFmtId="167" formatCode="mmmm\ yyyy"/>
    <numFmt numFmtId="168" formatCode="#,##0;[Red]\(###0\)"/>
  </numFmts>
  <fonts count="17" x14ac:knownFonts="1">
    <font>
      <sz val="11"/>
      <name val="Calibri"/>
    </font>
    <font>
      <sz val="12"/>
      <color rgb="FF000000"/>
      <name val="Calibri"/>
      <family val="2"/>
    </font>
    <font>
      <sz val="12"/>
      <color rgb="FF1F3964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435369"/>
      <name val="Arial"/>
      <family val="2"/>
    </font>
    <font>
      <b/>
      <sz val="12"/>
      <color rgb="FF435369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20"/>
      <color theme="1"/>
      <name val="Calibri"/>
      <family val="2"/>
    </font>
    <font>
      <sz val="12"/>
      <color rgb="FF1F3964"/>
      <name val="Arial"/>
      <family val="2"/>
    </font>
    <font>
      <sz val="10"/>
      <color rgb="FF002060"/>
      <name val="Calibri"/>
      <family val="2"/>
      <scheme val="minor"/>
    </font>
    <font>
      <sz val="12"/>
      <color theme="1"/>
      <name val="Arial"/>
      <family val="2"/>
    </font>
    <font>
      <sz val="11"/>
      <color theme="0" tint="-0.34998626667073579"/>
      <name val="Calibri"/>
      <family val="2"/>
    </font>
    <font>
      <sz val="12"/>
      <color theme="3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protection locked="0"/>
    </xf>
    <xf numFmtId="164" fontId="9" fillId="0" borderId="0" applyFont="0" applyFill="0" applyBorder="0" applyAlignment="0" applyProtection="0"/>
  </cellStyleXfs>
  <cellXfs count="78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3" fontId="5" fillId="0" borderId="0" xfId="1" applyNumberFormat="1" applyFont="1" applyAlignment="1" applyProtection="1">
      <alignment horizontal="center"/>
    </xf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0" fillId="0" borderId="0" xfId="0" applyFont="1" applyAlignment="1"/>
    <xf numFmtId="0" fontId="11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164" fontId="2" fillId="3" borderId="1" xfId="2" applyFont="1" applyFill="1" applyBorder="1" applyAlignment="1">
      <alignment horizontal="right" vertical="center"/>
    </xf>
    <xf numFmtId="164" fontId="2" fillId="0" borderId="2" xfId="2" applyFont="1" applyFill="1" applyBorder="1" applyAlignment="1">
      <alignment horizontal="right" vertical="center"/>
    </xf>
    <xf numFmtId="164" fontId="5" fillId="0" borderId="0" xfId="2" applyFont="1" applyFill="1" applyAlignment="1" applyProtection="1">
      <alignment horizontal="right" vertical="center"/>
    </xf>
    <xf numFmtId="164" fontId="6" fillId="0" borderId="0" xfId="2" applyFont="1" applyFill="1" applyAlignment="1" applyProtection="1">
      <alignment horizontal="right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64" fontId="2" fillId="0" borderId="1" xfId="2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/>
    </xf>
    <xf numFmtId="164" fontId="2" fillId="6" borderId="1" xfId="2" applyFont="1" applyFill="1" applyBorder="1" applyAlignment="1">
      <alignment horizontal="right" vertical="center" wrapText="1"/>
    </xf>
    <xf numFmtId="164" fontId="2" fillId="2" borderId="1" xfId="2" applyFont="1" applyFill="1" applyBorder="1" applyAlignment="1">
      <alignment horizontal="right" vertical="center" wrapText="1"/>
    </xf>
    <xf numFmtId="0" fontId="4" fillId="0" borderId="0" xfId="0" applyFont="1" applyAlignment="1"/>
    <xf numFmtId="0" fontId="9" fillId="0" borderId="0" xfId="0" applyFont="1">
      <alignment vertical="center"/>
    </xf>
    <xf numFmtId="14" fontId="1" fillId="0" borderId="0" xfId="0" applyNumberFormat="1" applyFont="1" applyAlignment="1"/>
    <xf numFmtId="166" fontId="1" fillId="0" borderId="0" xfId="0" applyNumberFormat="1" applyFont="1" applyAlignment="1"/>
    <xf numFmtId="167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right" vertical="center"/>
    </xf>
    <xf numFmtId="168" fontId="5" fillId="0" borderId="0" xfId="2" applyNumberFormat="1" applyFont="1" applyFill="1" applyAlignment="1" applyProtection="1">
      <alignment horizontal="right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5" fillId="0" borderId="0" xfId="2" applyFont="1" applyFill="1" applyAlignment="1" applyProtection="1">
      <alignment horizontal="center" vertical="center"/>
    </xf>
    <xf numFmtId="164" fontId="2" fillId="0" borderId="2" xfId="2" applyFont="1" applyFill="1" applyBorder="1" applyAlignment="1">
      <alignment horizontal="center" vertical="center"/>
    </xf>
    <xf numFmtId="164" fontId="6" fillId="0" borderId="0" xfId="2" applyFont="1" applyFill="1" applyAlignment="1" applyProtection="1">
      <alignment horizontal="center" vertical="center"/>
    </xf>
    <xf numFmtId="168" fontId="5" fillId="0" borderId="0" xfId="2" applyNumberFormat="1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5" borderId="0" xfId="1" applyFont="1" applyFill="1" applyAlignment="1" applyProtection="1">
      <alignment horizontal="right" vertical="center"/>
    </xf>
    <xf numFmtId="0" fontId="14" fillId="4" borderId="0" xfId="1" applyFont="1" applyFill="1" applyAlignment="1" applyProtection="1">
      <alignment horizontal="right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left"/>
    </xf>
    <xf numFmtId="22" fontId="13" fillId="0" borderId="2" xfId="0" applyNumberFormat="1" applyFont="1" applyBorder="1" applyAlignment="1">
      <alignment horizontal="center" vertical="center"/>
    </xf>
    <xf numFmtId="164" fontId="2" fillId="6" borderId="0" xfId="2" applyFont="1" applyFill="1" applyAlignment="1">
      <alignment horizontal="right" vertical="center"/>
    </xf>
  </cellXfs>
  <cellStyles count="3">
    <cellStyle name="Comma [0]" xfId="2" builtinId="6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35"/>
  <sheetViews>
    <sheetView zoomScale="60" zoomScaleNormal="60" workbookViewId="0">
      <selection activeCell="I27" sqref="A1:XFD1048576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2.85546875" bestFit="1" customWidth="1"/>
    <col min="9" max="9" width="11.140625" bestFit="1" customWidth="1"/>
    <col min="16" max="16" width="13" bestFit="1" customWidth="1"/>
    <col min="17" max="17" width="16.140625" bestFit="1" customWidth="1"/>
    <col min="18" max="18" width="13" bestFit="1" customWidth="1"/>
    <col min="19" max="19" width="14.42578125" bestFit="1" customWidth="1"/>
    <col min="20" max="21" width="13.28515625" bestFit="1" customWidth="1"/>
    <col min="22" max="22" width="13.7109375" customWidth="1"/>
    <col min="23" max="23" width="13.28515625" bestFit="1" customWidth="1"/>
    <col min="24" max="24" width="12.85546875" bestFit="1" customWidth="1"/>
    <col min="25" max="25" width="15.42578125" bestFit="1" customWidth="1"/>
  </cols>
  <sheetData>
    <row r="1" spans="1:37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7" ht="26.25" x14ac:dyDescent="0.4">
      <c r="A2" s="19"/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37" ht="26.25" x14ac:dyDescent="0.4">
      <c r="A3" s="19"/>
      <c r="B3" s="75">
        <v>44927</v>
      </c>
      <c r="C3" s="75"/>
      <c r="D3" s="75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7" ht="45" x14ac:dyDescent="0.25">
      <c r="A4" s="1"/>
      <c r="B4" s="24" t="s">
        <v>1</v>
      </c>
      <c r="C4" s="24" t="s">
        <v>2</v>
      </c>
      <c r="D4" s="25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 t="s">
        <v>14</v>
      </c>
      <c r="P4" s="24" t="s">
        <v>15</v>
      </c>
      <c r="Q4" s="24" t="s">
        <v>16</v>
      </c>
      <c r="R4" s="24" t="s">
        <v>4</v>
      </c>
      <c r="S4" s="24" t="s">
        <v>5</v>
      </c>
      <c r="T4" s="24" t="s">
        <v>6</v>
      </c>
      <c r="U4" s="24" t="s">
        <v>17</v>
      </c>
      <c r="V4" s="24" t="s">
        <v>18</v>
      </c>
      <c r="W4" s="24" t="s">
        <v>19</v>
      </c>
      <c r="X4" s="24" t="s">
        <v>20</v>
      </c>
      <c r="Y4" s="24" t="s">
        <v>21</v>
      </c>
      <c r="AD4" s="29" t="s">
        <v>21</v>
      </c>
      <c r="AE4" s="30" t="s">
        <v>36</v>
      </c>
      <c r="AF4" s="30" t="s">
        <v>37</v>
      </c>
      <c r="AG4" s="31" t="s">
        <v>21</v>
      </c>
    </row>
    <row r="5" spans="1:37" ht="26.1" customHeight="1" x14ac:dyDescent="0.25">
      <c r="A5" s="1"/>
      <c r="B5" s="2">
        <v>1</v>
      </c>
      <c r="C5" s="4" t="s">
        <v>22</v>
      </c>
      <c r="D5" s="4" t="s">
        <v>3</v>
      </c>
      <c r="E5" s="2"/>
      <c r="F5" s="32"/>
      <c r="G5" s="2">
        <v>1</v>
      </c>
      <c r="H5" s="2"/>
      <c r="I5" s="3"/>
      <c r="J5" s="2">
        <v>1</v>
      </c>
      <c r="K5" s="2"/>
      <c r="L5" s="26">
        <v>10</v>
      </c>
      <c r="M5" s="26">
        <v>7</v>
      </c>
      <c r="N5" s="26">
        <v>168</v>
      </c>
      <c r="O5" s="26">
        <v>24</v>
      </c>
      <c r="P5" s="47">
        <f t="shared" ref="P5:P16" si="0">SUM(L5:O5)</f>
        <v>209</v>
      </c>
      <c r="Q5" s="47">
        <f>((data!$A$3/8)*L5)+((data!$B$3/8)*(M5+N5+O5))+(P5*$E$24)</f>
        <v>823331.04080696928</v>
      </c>
      <c r="R5" s="47">
        <f t="shared" ref="R5:R16" si="1">IF(D5="Percobaan",0,IF(AND(E5="",G5&gt;0,H5="ok"),100000,IF(AND(E5="",G5&gt;0,H5=""),50000,IF(AND(E5=""),100000,0))))</f>
        <v>50000</v>
      </c>
      <c r="S5" s="47">
        <f t="shared" ref="S5:S16" si="2">((P5/8)*1000)</f>
        <v>26125</v>
      </c>
      <c r="T5" s="47">
        <f t="shared" ref="T5:T16" si="3">IF(AND(G5&gt;0,H5=""),50000,IF(AND(G5&gt;0,H5="ok"),G5*50000,0))</f>
        <v>50000</v>
      </c>
      <c r="U5" s="47">
        <f t="shared" ref="U5:U16" si="4">IF(OR(D5="Percobaan",D5=""),0,IF(I5="+",P5/8*3000,IF(I5="-",0,P5/8*2000)))</f>
        <v>52250</v>
      </c>
      <c r="V5" s="47">
        <f t="shared" ref="V5:V16" si="5">J5*-12500</f>
        <v>-12500</v>
      </c>
      <c r="W5" s="47">
        <f t="shared" ref="W5:W7" si="6">IF(K5="ok",50000+AA5,0+AA5)</f>
        <v>0</v>
      </c>
      <c r="X5" s="47">
        <f t="shared" ref="X5:X8" si="7">AC5</f>
        <v>0</v>
      </c>
      <c r="Y5" s="47">
        <f t="shared" ref="Y5:Y16" si="8">CEILING(SUM(Q5:X5),500)</f>
        <v>989500</v>
      </c>
      <c r="AD5">
        <f>P5/8</f>
        <v>26.125</v>
      </c>
      <c r="AE5">
        <f>O5/8</f>
        <v>3</v>
      </c>
      <c r="AF5">
        <f>AD5-AE5</f>
        <v>23.125</v>
      </c>
    </row>
    <row r="6" spans="1:37" ht="26.1" customHeight="1" x14ac:dyDescent="0.25">
      <c r="A6" s="1"/>
      <c r="B6" s="41">
        <v>2</v>
      </c>
      <c r="C6" s="42" t="s">
        <v>49</v>
      </c>
      <c r="D6" s="43" t="s">
        <v>25</v>
      </c>
      <c r="E6" s="44" t="s">
        <v>51</v>
      </c>
      <c r="F6" s="43"/>
      <c r="G6" s="44"/>
      <c r="H6" s="44"/>
      <c r="I6" s="44"/>
      <c r="J6" s="41">
        <v>1</v>
      </c>
      <c r="K6" s="44"/>
      <c r="L6" s="48">
        <v>24</v>
      </c>
      <c r="M6" s="48">
        <v>16</v>
      </c>
      <c r="N6" s="48">
        <v>152</v>
      </c>
      <c r="O6" s="49">
        <v>16</v>
      </c>
      <c r="P6" s="50">
        <f t="shared" si="0"/>
        <v>208</v>
      </c>
      <c r="Q6" s="47">
        <f>((data!$A$3/8)*L6)+((data!$B$3/8)*(M6+N6+O6))+(P6*$E$24)</f>
        <v>821147.63869784505</v>
      </c>
      <c r="R6" s="50">
        <v>0</v>
      </c>
      <c r="S6" s="47">
        <f t="shared" si="2"/>
        <v>26000</v>
      </c>
      <c r="T6" s="50">
        <v>0</v>
      </c>
      <c r="U6" s="50">
        <f t="shared" si="4"/>
        <v>0</v>
      </c>
      <c r="V6" s="50">
        <f t="shared" si="5"/>
        <v>-12500</v>
      </c>
      <c r="W6" s="50">
        <v>90000</v>
      </c>
      <c r="X6" s="50">
        <f t="shared" si="7"/>
        <v>0</v>
      </c>
      <c r="Y6" s="50">
        <f t="shared" si="8"/>
        <v>925000</v>
      </c>
      <c r="AD6">
        <f t="shared" ref="AD6:AD17" si="9">P6/8</f>
        <v>26</v>
      </c>
      <c r="AE6">
        <f t="shared" ref="AE6:AE17" si="10">O6/8</f>
        <v>2</v>
      </c>
      <c r="AF6">
        <f t="shared" ref="AF6:AF17" si="11">AD6-AE6</f>
        <v>24</v>
      </c>
    </row>
    <row r="7" spans="1:37" ht="26.1" customHeight="1" x14ac:dyDescent="0.25">
      <c r="A7" s="1"/>
      <c r="B7" s="2">
        <v>3</v>
      </c>
      <c r="C7" s="32" t="s">
        <v>24</v>
      </c>
      <c r="D7" s="4" t="s">
        <v>3</v>
      </c>
      <c r="E7" s="3"/>
      <c r="F7" s="4"/>
      <c r="G7" s="3">
        <v>2</v>
      </c>
      <c r="H7" s="3" t="s">
        <v>23</v>
      </c>
      <c r="I7" s="3" t="s">
        <v>52</v>
      </c>
      <c r="J7" s="2">
        <v>1</v>
      </c>
      <c r="K7" s="3" t="s">
        <v>23</v>
      </c>
      <c r="L7" s="27">
        <v>176</v>
      </c>
      <c r="M7" s="27">
        <v>32</v>
      </c>
      <c r="N7" s="27">
        <v>10</v>
      </c>
      <c r="O7" s="27">
        <v>0</v>
      </c>
      <c r="P7" s="47">
        <f>SUM(L7:O7)</f>
        <v>218</v>
      </c>
      <c r="Q7" s="47">
        <f>((data!$A$3/8)*L7)+((data!$B$3/8)*(M7+N7+O7))+(P7*$E$24)</f>
        <v>879481.6597890876</v>
      </c>
      <c r="R7" s="47">
        <f t="shared" si="1"/>
        <v>100000</v>
      </c>
      <c r="S7" s="47">
        <f t="shared" si="2"/>
        <v>27250</v>
      </c>
      <c r="T7" s="47">
        <f t="shared" si="3"/>
        <v>100000</v>
      </c>
      <c r="U7" s="47">
        <f t="shared" si="4"/>
        <v>81750</v>
      </c>
      <c r="V7" s="47">
        <f t="shared" si="5"/>
        <v>-12500</v>
      </c>
      <c r="W7" s="47">
        <f t="shared" si="6"/>
        <v>50000</v>
      </c>
      <c r="X7" s="47">
        <f t="shared" si="7"/>
        <v>0</v>
      </c>
      <c r="Y7" s="47">
        <f t="shared" si="8"/>
        <v>1226000</v>
      </c>
      <c r="AD7">
        <f t="shared" si="9"/>
        <v>27.25</v>
      </c>
      <c r="AE7">
        <f t="shared" si="10"/>
        <v>0</v>
      </c>
      <c r="AF7">
        <f t="shared" si="11"/>
        <v>27.25</v>
      </c>
    </row>
    <row r="8" spans="1:37" ht="26.1" customHeight="1" x14ac:dyDescent="0.25">
      <c r="A8" s="1"/>
      <c r="B8" s="2">
        <v>4</v>
      </c>
      <c r="C8" s="4" t="s">
        <v>53</v>
      </c>
      <c r="D8" s="4" t="s">
        <v>25</v>
      </c>
      <c r="E8" s="2" t="s">
        <v>54</v>
      </c>
      <c r="F8" s="4"/>
      <c r="G8" s="3"/>
      <c r="H8" s="3"/>
      <c r="I8" s="3"/>
      <c r="J8" s="2">
        <v>1</v>
      </c>
      <c r="K8" s="3"/>
      <c r="L8" s="27">
        <v>0</v>
      </c>
      <c r="M8" s="27">
        <v>152</v>
      </c>
      <c r="N8" s="27">
        <v>56</v>
      </c>
      <c r="O8" s="27">
        <v>0</v>
      </c>
      <c r="P8" s="47">
        <f t="shared" si="0"/>
        <v>208</v>
      </c>
      <c r="Q8" s="47">
        <f>((data!$A$3/8)*L8)+((data!$B$3/8)*(M8+N8+O8))+(P8*$E$24)</f>
        <v>818147.63869784505</v>
      </c>
      <c r="R8" s="47">
        <f t="shared" si="1"/>
        <v>0</v>
      </c>
      <c r="S8" s="47">
        <f t="shared" si="2"/>
        <v>26000</v>
      </c>
      <c r="T8" s="47">
        <f t="shared" si="3"/>
        <v>0</v>
      </c>
      <c r="U8" s="47">
        <f t="shared" si="4"/>
        <v>0</v>
      </c>
      <c r="V8" s="47">
        <f t="shared" si="5"/>
        <v>-12500</v>
      </c>
      <c r="W8" s="47">
        <v>0</v>
      </c>
      <c r="X8" s="47">
        <f t="shared" si="7"/>
        <v>0</v>
      </c>
      <c r="Y8" s="47">
        <f t="shared" si="8"/>
        <v>832000</v>
      </c>
      <c r="AD8">
        <f t="shared" si="9"/>
        <v>26</v>
      </c>
      <c r="AE8">
        <f t="shared" si="10"/>
        <v>0</v>
      </c>
      <c r="AF8">
        <f t="shared" si="11"/>
        <v>26</v>
      </c>
    </row>
    <row r="9" spans="1:37" ht="26.1" customHeight="1" x14ac:dyDescent="0.25">
      <c r="A9" s="1"/>
      <c r="B9" s="22">
        <v>5</v>
      </c>
      <c r="C9" s="23" t="s">
        <v>26</v>
      </c>
      <c r="D9" s="23" t="s">
        <v>3</v>
      </c>
      <c r="E9" s="22"/>
      <c r="F9" s="23"/>
      <c r="G9" s="21">
        <v>1</v>
      </c>
      <c r="H9" s="21" t="s">
        <v>23</v>
      </c>
      <c r="I9" s="21" t="s">
        <v>52</v>
      </c>
      <c r="J9" s="22">
        <v>1</v>
      </c>
      <c r="K9" s="21" t="s">
        <v>23</v>
      </c>
      <c r="L9" s="28">
        <v>2</v>
      </c>
      <c r="M9" s="28">
        <v>0</v>
      </c>
      <c r="N9" s="28">
        <v>72</v>
      </c>
      <c r="O9" s="28">
        <v>152</v>
      </c>
      <c r="P9" s="51">
        <f t="shared" si="0"/>
        <v>226</v>
      </c>
      <c r="Q9" s="47">
        <f>((data!$A$3/8)*L9)+((data!$B$3/8)*(M9+N9+O9))+(P9*$E$24)</f>
        <v>889198.87666208157</v>
      </c>
      <c r="R9" s="51">
        <f t="shared" si="1"/>
        <v>100000</v>
      </c>
      <c r="S9" s="47">
        <f t="shared" si="2"/>
        <v>28250</v>
      </c>
      <c r="T9" s="51">
        <f t="shared" si="3"/>
        <v>50000</v>
      </c>
      <c r="U9" s="51">
        <f t="shared" si="4"/>
        <v>84750</v>
      </c>
      <c r="V9" s="51">
        <f t="shared" si="5"/>
        <v>-12500</v>
      </c>
      <c r="W9" s="51">
        <f t="shared" ref="W9:W15" si="12">IF(K9="ok",50000+AA10,0+AA10)</f>
        <v>50000</v>
      </c>
      <c r="X9" s="51"/>
      <c r="Y9" s="51">
        <f t="shared" si="8"/>
        <v>1190000</v>
      </c>
      <c r="AD9">
        <f t="shared" si="9"/>
        <v>28.25</v>
      </c>
      <c r="AE9">
        <f t="shared" si="10"/>
        <v>19</v>
      </c>
      <c r="AF9">
        <f t="shared" si="11"/>
        <v>9.25</v>
      </c>
      <c r="AH9">
        <v>27</v>
      </c>
      <c r="AI9">
        <v>23</v>
      </c>
      <c r="AJ9">
        <v>4</v>
      </c>
      <c r="AK9">
        <v>1016000</v>
      </c>
    </row>
    <row r="10" spans="1:37" ht="26.1" customHeight="1" x14ac:dyDescent="0.25">
      <c r="A10" s="1"/>
      <c r="B10" s="22">
        <v>6</v>
      </c>
      <c r="C10" s="33" t="s">
        <v>27</v>
      </c>
      <c r="D10" s="23" t="s">
        <v>3</v>
      </c>
      <c r="E10" s="21"/>
      <c r="F10" s="23"/>
      <c r="G10" s="21">
        <v>4</v>
      </c>
      <c r="H10" s="21" t="s">
        <v>23</v>
      </c>
      <c r="I10" s="21" t="s">
        <v>50</v>
      </c>
      <c r="J10" s="22">
        <v>1</v>
      </c>
      <c r="K10" s="21" t="s">
        <v>23</v>
      </c>
      <c r="L10" s="28">
        <v>0</v>
      </c>
      <c r="M10" s="28">
        <v>202</v>
      </c>
      <c r="N10" s="28">
        <v>2</v>
      </c>
      <c r="O10" s="28">
        <v>0</v>
      </c>
      <c r="P10" s="51">
        <f t="shared" si="0"/>
        <v>204</v>
      </c>
      <c r="Q10" s="47">
        <f>((data!$A$3/8)*L10)+((data!$B$3/8)*(M10+N10+O10))+(P10*$E$24)</f>
        <v>802414.030261348</v>
      </c>
      <c r="R10" s="51">
        <v>50000</v>
      </c>
      <c r="S10" s="47">
        <f t="shared" si="2"/>
        <v>25500</v>
      </c>
      <c r="T10" s="51">
        <f t="shared" si="3"/>
        <v>200000</v>
      </c>
      <c r="U10" s="51">
        <f t="shared" si="4"/>
        <v>0</v>
      </c>
      <c r="V10" s="51">
        <f t="shared" si="5"/>
        <v>-12500</v>
      </c>
      <c r="W10" s="51">
        <f t="shared" si="12"/>
        <v>50000</v>
      </c>
      <c r="X10" s="51"/>
      <c r="Y10" s="51">
        <f t="shared" si="8"/>
        <v>1115500</v>
      </c>
      <c r="AD10">
        <f t="shared" si="9"/>
        <v>25.5</v>
      </c>
      <c r="AE10">
        <f t="shared" si="10"/>
        <v>0</v>
      </c>
      <c r="AF10">
        <f t="shared" si="11"/>
        <v>25.5</v>
      </c>
      <c r="AH10">
        <v>53.75</v>
      </c>
      <c r="AI10">
        <v>38.25</v>
      </c>
      <c r="AJ10">
        <v>15.5</v>
      </c>
      <c r="AK10">
        <v>1988500</v>
      </c>
    </row>
    <row r="11" spans="1:37" ht="26.1" customHeight="1" x14ac:dyDescent="0.25">
      <c r="A11" s="1"/>
      <c r="B11" s="2">
        <v>7</v>
      </c>
      <c r="C11" s="32" t="s">
        <v>28</v>
      </c>
      <c r="D11" s="4" t="s">
        <v>25</v>
      </c>
      <c r="E11" s="2" t="s">
        <v>55</v>
      </c>
      <c r="F11" s="3"/>
      <c r="G11" s="3">
        <v>1</v>
      </c>
      <c r="H11" s="3"/>
      <c r="I11" s="3" t="s">
        <v>50</v>
      </c>
      <c r="J11" s="2">
        <v>1</v>
      </c>
      <c r="K11" s="3"/>
      <c r="L11" s="27">
        <v>2</v>
      </c>
      <c r="M11" s="27">
        <v>97</v>
      </c>
      <c r="N11" s="27">
        <v>8</v>
      </c>
      <c r="O11" s="27">
        <v>72</v>
      </c>
      <c r="P11" s="47">
        <f t="shared" si="0"/>
        <v>179</v>
      </c>
      <c r="Q11" s="47">
        <f>((data!$A$3/8)*L11)+((data!$B$3/8)*(M11+N11+O11))+(P11*$E$24)</f>
        <v>704328.97753324162</v>
      </c>
      <c r="R11" s="47">
        <f t="shared" si="1"/>
        <v>0</v>
      </c>
      <c r="S11" s="47">
        <f t="shared" si="2"/>
        <v>22375</v>
      </c>
      <c r="T11" s="47">
        <f t="shared" si="3"/>
        <v>50000</v>
      </c>
      <c r="U11" s="47">
        <f t="shared" si="4"/>
        <v>0</v>
      </c>
      <c r="V11" s="47">
        <f t="shared" si="5"/>
        <v>-12500</v>
      </c>
      <c r="W11" s="47">
        <f t="shared" si="12"/>
        <v>0</v>
      </c>
      <c r="X11" s="47"/>
      <c r="Y11" s="47">
        <f t="shared" si="8"/>
        <v>764500</v>
      </c>
      <c r="AD11">
        <f t="shared" si="9"/>
        <v>22.375</v>
      </c>
      <c r="AE11">
        <f t="shared" si="10"/>
        <v>9</v>
      </c>
      <c r="AF11">
        <f t="shared" si="11"/>
        <v>13.375</v>
      </c>
    </row>
    <row r="12" spans="1:37" ht="26.1" customHeight="1" x14ac:dyDescent="0.25">
      <c r="A12" s="1"/>
      <c r="B12" s="2">
        <v>8</v>
      </c>
      <c r="C12" s="32" t="s">
        <v>29</v>
      </c>
      <c r="D12" s="4" t="s">
        <v>3</v>
      </c>
      <c r="E12" s="2"/>
      <c r="F12" s="4"/>
      <c r="G12" s="3">
        <v>1</v>
      </c>
      <c r="H12" s="3" t="s">
        <v>23</v>
      </c>
      <c r="I12" s="3" t="s">
        <v>52</v>
      </c>
      <c r="J12" s="2">
        <v>1</v>
      </c>
      <c r="K12" s="3"/>
      <c r="L12" s="27">
        <v>60</v>
      </c>
      <c r="M12" s="27">
        <v>24</v>
      </c>
      <c r="N12" s="27">
        <v>58</v>
      </c>
      <c r="O12" s="27">
        <v>88</v>
      </c>
      <c r="P12" s="47">
        <f t="shared" si="0"/>
        <v>230</v>
      </c>
      <c r="Q12" s="47">
        <f>((data!$A$3/8)*L12)+((data!$B$3/8)*(M12+N12+O12))+(P12*$E$24)</f>
        <v>912182.48509857862</v>
      </c>
      <c r="R12" s="47">
        <f t="shared" si="1"/>
        <v>100000</v>
      </c>
      <c r="S12" s="47">
        <f t="shared" si="2"/>
        <v>28750</v>
      </c>
      <c r="T12" s="47">
        <f t="shared" si="3"/>
        <v>50000</v>
      </c>
      <c r="U12" s="47">
        <f t="shared" si="4"/>
        <v>86250</v>
      </c>
      <c r="V12" s="47">
        <f t="shared" si="5"/>
        <v>-12500</v>
      </c>
      <c r="W12" s="47">
        <f t="shared" si="12"/>
        <v>0</v>
      </c>
      <c r="X12" s="47">
        <f t="shared" ref="X12:X16" si="13">AC13</f>
        <v>0</v>
      </c>
      <c r="Y12" s="47">
        <f t="shared" si="8"/>
        <v>1165000</v>
      </c>
      <c r="AD12">
        <f t="shared" si="9"/>
        <v>28.75</v>
      </c>
      <c r="AE12">
        <f t="shared" si="10"/>
        <v>11</v>
      </c>
      <c r="AF12">
        <f t="shared" si="11"/>
        <v>17.75</v>
      </c>
    </row>
    <row r="13" spans="1:37" ht="26.1" customHeight="1" x14ac:dyDescent="0.25">
      <c r="A13" s="1"/>
      <c r="B13" s="2">
        <v>9</v>
      </c>
      <c r="C13" s="32" t="s">
        <v>30</v>
      </c>
      <c r="D13" s="4" t="s">
        <v>3</v>
      </c>
      <c r="E13" s="2"/>
      <c r="F13" s="4"/>
      <c r="G13" s="3">
        <v>1</v>
      </c>
      <c r="H13" s="3"/>
      <c r="I13" s="3" t="s">
        <v>52</v>
      </c>
      <c r="J13" s="2">
        <v>1</v>
      </c>
      <c r="K13" s="3"/>
      <c r="L13" s="27">
        <v>31</v>
      </c>
      <c r="M13" s="27">
        <v>176</v>
      </c>
      <c r="N13" s="27">
        <v>10</v>
      </c>
      <c r="O13" s="27">
        <v>0</v>
      </c>
      <c r="P13" s="47">
        <f t="shared" si="0"/>
        <v>217</v>
      </c>
      <c r="Q13" s="47">
        <f>((data!$A$3/8)*L13)+((data!$B$3/8)*(M13+N13+O13))+(P13*$E$24)</f>
        <v>857423.25767996337</v>
      </c>
      <c r="R13" s="47">
        <f t="shared" si="1"/>
        <v>50000</v>
      </c>
      <c r="S13" s="47">
        <f t="shared" si="2"/>
        <v>27125</v>
      </c>
      <c r="T13" s="47">
        <f t="shared" si="3"/>
        <v>50000</v>
      </c>
      <c r="U13" s="47">
        <f t="shared" si="4"/>
        <v>81375</v>
      </c>
      <c r="V13" s="47">
        <f t="shared" si="5"/>
        <v>-12500</v>
      </c>
      <c r="W13" s="47">
        <f t="shared" si="12"/>
        <v>0</v>
      </c>
      <c r="X13" s="47">
        <f t="shared" si="13"/>
        <v>0</v>
      </c>
      <c r="Y13" s="47">
        <f t="shared" si="8"/>
        <v>1053500</v>
      </c>
      <c r="AD13">
        <f t="shared" si="9"/>
        <v>27.125</v>
      </c>
      <c r="AE13">
        <f t="shared" si="10"/>
        <v>0</v>
      </c>
      <c r="AF13">
        <f t="shared" si="11"/>
        <v>27.125</v>
      </c>
    </row>
    <row r="14" spans="1:37" ht="26.1" customHeight="1" x14ac:dyDescent="0.25">
      <c r="A14" s="1"/>
      <c r="B14" s="2">
        <v>10</v>
      </c>
      <c r="C14" s="32" t="s">
        <v>31</v>
      </c>
      <c r="D14" s="4" t="s">
        <v>3</v>
      </c>
      <c r="E14" s="3"/>
      <c r="F14" s="4"/>
      <c r="G14" s="3">
        <v>1</v>
      </c>
      <c r="H14" s="3"/>
      <c r="I14" s="3" t="s">
        <v>52</v>
      </c>
      <c r="J14" s="2">
        <v>1</v>
      </c>
      <c r="K14" s="3" t="s">
        <v>23</v>
      </c>
      <c r="L14" s="27">
        <v>232</v>
      </c>
      <c r="M14" s="27">
        <v>27</v>
      </c>
      <c r="N14" s="27">
        <v>0</v>
      </c>
      <c r="O14" s="27">
        <v>0</v>
      </c>
      <c r="P14" s="47">
        <f t="shared" si="0"/>
        <v>259</v>
      </c>
      <c r="Q14" s="47">
        <f>((data!$A$3/8)*L14)+((data!$B$3/8)*(M14+N14+O14))+(P14*$E$24)</f>
        <v>1047751.146263182</v>
      </c>
      <c r="R14" s="47">
        <f t="shared" si="1"/>
        <v>50000</v>
      </c>
      <c r="S14" s="47">
        <f t="shared" si="2"/>
        <v>32375</v>
      </c>
      <c r="T14" s="47">
        <f t="shared" si="3"/>
        <v>50000</v>
      </c>
      <c r="U14" s="47">
        <f t="shared" si="4"/>
        <v>97125</v>
      </c>
      <c r="V14" s="47">
        <f t="shared" si="5"/>
        <v>-12500</v>
      </c>
      <c r="W14" s="47">
        <f t="shared" si="12"/>
        <v>50000</v>
      </c>
      <c r="X14" s="47">
        <f t="shared" si="13"/>
        <v>0</v>
      </c>
      <c r="Y14" s="47">
        <f t="shared" si="8"/>
        <v>1315000</v>
      </c>
      <c r="AD14">
        <f t="shared" si="9"/>
        <v>32.375</v>
      </c>
      <c r="AE14">
        <f t="shared" si="10"/>
        <v>0</v>
      </c>
      <c r="AF14">
        <f t="shared" si="11"/>
        <v>32.375</v>
      </c>
    </row>
    <row r="15" spans="1:37" ht="26.1" customHeight="1" x14ac:dyDescent="0.25">
      <c r="A15" s="1"/>
      <c r="B15" s="2">
        <v>11</v>
      </c>
      <c r="C15" s="32" t="s">
        <v>32</v>
      </c>
      <c r="D15" s="4" t="s">
        <v>3</v>
      </c>
      <c r="E15" s="2" t="s">
        <v>51</v>
      </c>
      <c r="F15" s="4"/>
      <c r="G15" s="3">
        <v>1</v>
      </c>
      <c r="H15" s="3"/>
      <c r="I15" s="3" t="s">
        <v>50</v>
      </c>
      <c r="J15" s="2">
        <v>1</v>
      </c>
      <c r="K15" s="3"/>
      <c r="L15" s="27">
        <v>188</v>
      </c>
      <c r="M15" s="27">
        <v>5</v>
      </c>
      <c r="N15" s="27">
        <v>0</v>
      </c>
      <c r="O15" s="27">
        <v>0</v>
      </c>
      <c r="P15" s="47">
        <f t="shared" si="0"/>
        <v>193</v>
      </c>
      <c r="Q15" s="47">
        <f>((data!$A$3/8)*L15)+((data!$B$3/8)*(M15+N15+O15))+(P15*$E$24)</f>
        <v>782646.60706098122</v>
      </c>
      <c r="R15" s="47">
        <f t="shared" si="1"/>
        <v>0</v>
      </c>
      <c r="S15" s="47">
        <f t="shared" si="2"/>
        <v>24125</v>
      </c>
      <c r="T15" s="47">
        <f t="shared" si="3"/>
        <v>50000</v>
      </c>
      <c r="U15" s="47">
        <f t="shared" si="4"/>
        <v>0</v>
      </c>
      <c r="V15" s="47">
        <f t="shared" si="5"/>
        <v>-12500</v>
      </c>
      <c r="W15" s="47">
        <f t="shared" si="12"/>
        <v>0</v>
      </c>
      <c r="X15" s="47">
        <f t="shared" si="13"/>
        <v>0</v>
      </c>
      <c r="Y15" s="47">
        <f t="shared" si="8"/>
        <v>844500</v>
      </c>
      <c r="AD15">
        <f t="shared" si="9"/>
        <v>24.125</v>
      </c>
      <c r="AE15">
        <f t="shared" si="10"/>
        <v>0</v>
      </c>
      <c r="AF15">
        <f t="shared" si="11"/>
        <v>24.125</v>
      </c>
    </row>
    <row r="16" spans="1:37" ht="26.1" customHeight="1" x14ac:dyDescent="0.25">
      <c r="A16" s="1"/>
      <c r="B16" s="2">
        <v>12</v>
      </c>
      <c r="C16" s="32" t="s">
        <v>35</v>
      </c>
      <c r="D16" s="4" t="s">
        <v>25</v>
      </c>
      <c r="E16" s="2" t="s">
        <v>51</v>
      </c>
      <c r="F16" s="34"/>
      <c r="G16" s="34"/>
      <c r="H16" s="34"/>
      <c r="I16" s="3" t="s">
        <v>50</v>
      </c>
      <c r="J16" s="60">
        <v>1</v>
      </c>
      <c r="K16" s="34"/>
      <c r="L16" s="27">
        <v>2</v>
      </c>
      <c r="M16" s="27">
        <v>6</v>
      </c>
      <c r="N16" s="27">
        <v>174</v>
      </c>
      <c r="O16" s="27">
        <v>0</v>
      </c>
      <c r="P16" s="47">
        <f t="shared" si="0"/>
        <v>182</v>
      </c>
      <c r="Q16" s="47">
        <f>((data!$A$3/8)*L16)+((data!$B$3/8)*(M16+N16+O16))+(P16*$E$24)</f>
        <v>716129.18386061443</v>
      </c>
      <c r="R16" s="47">
        <f t="shared" si="1"/>
        <v>0</v>
      </c>
      <c r="S16" s="47">
        <f t="shared" si="2"/>
        <v>22750</v>
      </c>
      <c r="T16" s="47">
        <f t="shared" si="3"/>
        <v>0</v>
      </c>
      <c r="U16" s="47">
        <f t="shared" si="4"/>
        <v>0</v>
      </c>
      <c r="V16" s="47">
        <f t="shared" si="5"/>
        <v>-12500</v>
      </c>
      <c r="W16" s="47">
        <v>0</v>
      </c>
      <c r="X16" s="47">
        <f t="shared" si="13"/>
        <v>0</v>
      </c>
      <c r="Y16" s="47">
        <f t="shared" si="8"/>
        <v>726500</v>
      </c>
      <c r="AD16">
        <f t="shared" si="9"/>
        <v>22.75</v>
      </c>
      <c r="AE16">
        <f t="shared" si="10"/>
        <v>0</v>
      </c>
      <c r="AF16">
        <f t="shared" si="11"/>
        <v>22.75</v>
      </c>
    </row>
    <row r="17" spans="1:32" ht="26.1" customHeight="1" x14ac:dyDescent="0.25">
      <c r="A17" s="1"/>
      <c r="B17" s="2">
        <v>13</v>
      </c>
      <c r="C17" s="32"/>
      <c r="D17" s="4"/>
      <c r="E17" s="2"/>
      <c r="F17" s="34"/>
      <c r="G17" s="34"/>
      <c r="H17" s="34"/>
      <c r="I17" s="3"/>
      <c r="J17" s="34"/>
      <c r="K17" s="34"/>
      <c r="L17" s="27"/>
      <c r="M17" s="27"/>
      <c r="N17" s="27"/>
      <c r="O17" s="27">
        <v>0</v>
      </c>
      <c r="P17" s="47">
        <f t="shared" ref="P17" si="14">SUM(L17:O17)</f>
        <v>0</v>
      </c>
      <c r="Q17" s="47">
        <f>((data!$A$3/8)*L17)+((data!$B$3/8)*(M17+N17+O17))+(P17*$E$24)</f>
        <v>0</v>
      </c>
      <c r="R17" s="47">
        <f>IF(D17="Percobaan",0,IF(AND(E17="",G17&gt;0,H17="ok"),100000,IF(AND(E17="",G17&gt;0,H17=""),50000,IF(AND(E17=""),100000,0))))</f>
        <v>100000</v>
      </c>
      <c r="S17" s="47">
        <f>((P17/8)*1000)</f>
        <v>0</v>
      </c>
      <c r="T17" s="47">
        <f t="shared" ref="T17" si="15">IF(AND(G17&gt;0,H17=""),50000,IF(AND(G17&gt;0,H17="ok"),G17*50000,0))</f>
        <v>0</v>
      </c>
      <c r="U17" s="47">
        <f t="shared" ref="U17" si="16">IF(OR(D17="Percobaan",D17=""),0,IF(I17="+",P17/8*3000,IF(I17="-",0,P17/8*2000)))</f>
        <v>0</v>
      </c>
      <c r="V17" s="47">
        <f t="shared" ref="V17" si="17">J17*-12500</f>
        <v>0</v>
      </c>
      <c r="W17" s="47">
        <v>0</v>
      </c>
      <c r="X17" s="47">
        <f t="shared" ref="X17" si="18">AC18</f>
        <v>0</v>
      </c>
      <c r="Y17" s="47">
        <f t="shared" ref="Y17" si="19">CEILING(SUM(Q17:X17),500)</f>
        <v>100000</v>
      </c>
      <c r="AD17">
        <f t="shared" si="9"/>
        <v>0</v>
      </c>
      <c r="AE17">
        <f t="shared" si="10"/>
        <v>0</v>
      </c>
      <c r="AF17">
        <f t="shared" si="11"/>
        <v>0</v>
      </c>
    </row>
    <row r="18" spans="1:32" ht="26.1" customHeight="1" x14ac:dyDescent="0.25">
      <c r="A18" s="1"/>
      <c r="B18" s="24"/>
      <c r="C18" s="35"/>
      <c r="D18" s="35"/>
      <c r="E18" s="24"/>
      <c r="F18" s="35"/>
      <c r="G18" s="25"/>
      <c r="H18" s="25"/>
      <c r="I18" s="25"/>
      <c r="J18" s="24"/>
      <c r="K18" s="25"/>
      <c r="L18" s="36">
        <f>SUM(L5:L17)</f>
        <v>727</v>
      </c>
      <c r="M18" s="36">
        <f t="shared" ref="M18:Y18" si="20">SUM(M5:M17)</f>
        <v>744</v>
      </c>
      <c r="N18" s="36">
        <f t="shared" si="20"/>
        <v>710</v>
      </c>
      <c r="O18" s="36">
        <f t="shared" si="20"/>
        <v>352</v>
      </c>
      <c r="P18" s="37">
        <f>SUM(P5:P17)</f>
        <v>2533</v>
      </c>
      <c r="Q18" s="37">
        <f t="shared" si="20"/>
        <v>10054182.542411739</v>
      </c>
      <c r="R18" s="37">
        <f t="shared" si="20"/>
        <v>600000</v>
      </c>
      <c r="S18" s="37">
        <f t="shared" si="20"/>
        <v>316625</v>
      </c>
      <c r="T18" s="37">
        <f t="shared" si="20"/>
        <v>650000</v>
      </c>
      <c r="U18" s="37">
        <f t="shared" si="20"/>
        <v>483500</v>
      </c>
      <c r="V18" s="37">
        <f t="shared" si="20"/>
        <v>-150000</v>
      </c>
      <c r="W18" s="37">
        <f t="shared" si="20"/>
        <v>290000</v>
      </c>
      <c r="X18" s="37">
        <f t="shared" si="20"/>
        <v>0</v>
      </c>
      <c r="Y18" s="37">
        <f t="shared" si="20"/>
        <v>12247000</v>
      </c>
    </row>
    <row r="19" spans="1:32" ht="26.1" customHeight="1" x14ac:dyDescent="0.25">
      <c r="A19" s="1"/>
      <c r="B19" s="5"/>
      <c r="C19" s="8"/>
      <c r="D19" s="8"/>
      <c r="E19" s="8"/>
      <c r="F19" s="8"/>
      <c r="G19" s="8"/>
      <c r="H19" s="8"/>
      <c r="I19" s="8"/>
      <c r="J19" s="8"/>
      <c r="K19" s="8"/>
      <c r="L19" s="73">
        <f>L18+M18+N18</f>
        <v>2181</v>
      </c>
      <c r="M19" s="74"/>
      <c r="N19" s="74"/>
      <c r="W19" s="76">
        <f ca="1">NOW()</f>
        <v>45420.011940046294</v>
      </c>
      <c r="X19" s="76"/>
    </row>
    <row r="20" spans="1:32" ht="26.1" hidden="1" customHeight="1" x14ac:dyDescent="0.25">
      <c r="A20" s="1"/>
      <c r="B20" s="5"/>
      <c r="C20" s="8"/>
      <c r="D20" s="8"/>
      <c r="E20" s="8"/>
      <c r="F20" s="8"/>
      <c r="G20" s="8"/>
      <c r="H20" s="8"/>
      <c r="I20" s="8"/>
      <c r="J20" s="8"/>
      <c r="K20" s="8"/>
    </row>
    <row r="21" spans="1:32" ht="26.1" hidden="1" customHeight="1" x14ac:dyDescent="0.25">
      <c r="A21" s="1"/>
      <c r="B21" s="9"/>
      <c r="C21" s="9"/>
      <c r="D21" s="9"/>
      <c r="E21" s="10"/>
      <c r="F21" s="9"/>
      <c r="G21" s="9"/>
      <c r="H21" s="6"/>
      <c r="I21" s="7"/>
      <c r="J21" s="7"/>
      <c r="K21" s="5"/>
      <c r="L21" s="17">
        <f>SUM(L18:N18)</f>
        <v>2181</v>
      </c>
      <c r="M21" s="16"/>
    </row>
    <row r="22" spans="1:32" ht="26.1" hidden="1" customHeight="1" x14ac:dyDescent="0.25">
      <c r="A22" s="1"/>
      <c r="B22" s="10"/>
      <c r="C22" s="10"/>
      <c r="D22" s="10"/>
      <c r="E22" s="10"/>
      <c r="F22" s="10"/>
      <c r="G22" s="10"/>
      <c r="H22" s="6"/>
      <c r="I22" s="6"/>
      <c r="J22" s="6"/>
      <c r="K22" s="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32" ht="26.1" hidden="1" customHeight="1" x14ac:dyDescent="0.25">
      <c r="A23" s="1"/>
      <c r="B23" s="1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32" ht="26.1" customHeight="1" x14ac:dyDescent="0.25">
      <c r="A24" s="1"/>
      <c r="B24" s="46"/>
      <c r="C24" s="46" t="s">
        <v>33</v>
      </c>
      <c r="D24" s="46"/>
      <c r="E24" s="77">
        <f>IF(L19&gt;0,data!F3/L19)</f>
        <v>183.40210912425493</v>
      </c>
      <c r="F24" s="77"/>
      <c r="G24" s="10"/>
      <c r="H24" s="10"/>
      <c r="I24" s="10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6"/>
      <c r="U24" s="6"/>
      <c r="V24" s="6"/>
      <c r="W24" s="6"/>
      <c r="X24" s="6"/>
      <c r="Y24" s="6"/>
    </row>
    <row r="25" spans="1:32" ht="26.1" hidden="1" customHeight="1" x14ac:dyDescent="0.25">
      <c r="A25" s="1"/>
      <c r="B25" s="45"/>
      <c r="C25" s="45"/>
      <c r="D25" s="45"/>
      <c r="E25" s="7"/>
      <c r="F25" s="7"/>
      <c r="G25" s="10"/>
      <c r="H25" s="10"/>
      <c r="I25" s="10"/>
      <c r="J25" s="10"/>
      <c r="K25" s="18"/>
      <c r="L25" s="18"/>
      <c r="M25" s="18"/>
      <c r="N25" s="18"/>
      <c r="O25" s="1"/>
      <c r="P25" s="1"/>
      <c r="Q25" s="1"/>
      <c r="R25" s="1"/>
      <c r="S25" s="1"/>
      <c r="T25" s="6"/>
      <c r="U25" s="6"/>
      <c r="V25" s="6"/>
      <c r="W25" s="6"/>
      <c r="X25" s="6"/>
      <c r="Y25" s="6"/>
    </row>
    <row r="26" spans="1:32" ht="26.1" hidden="1" customHeight="1" x14ac:dyDescent="0.25">
      <c r="A26" s="1"/>
      <c r="B26" s="7"/>
      <c r="C26" s="7"/>
      <c r="D26" s="7"/>
      <c r="E26" s="7"/>
      <c r="F26" s="7"/>
      <c r="G26" s="10"/>
      <c r="H26" s="10"/>
      <c r="I26" s="10"/>
      <c r="J26" s="10"/>
      <c r="K26" s="1"/>
      <c r="L26" s="1"/>
      <c r="M26" s="1"/>
      <c r="N26" s="18"/>
      <c r="O26" s="1"/>
      <c r="P26" s="1"/>
      <c r="Q26" s="1"/>
      <c r="R26" s="1"/>
      <c r="S26" s="1"/>
      <c r="T26" s="6"/>
      <c r="U26" s="6"/>
      <c r="V26" s="6"/>
      <c r="W26" s="6"/>
      <c r="X26" s="6"/>
      <c r="Y26" s="6"/>
    </row>
    <row r="27" spans="1:32" ht="26.1" customHeight="1" x14ac:dyDescent="0.25">
      <c r="A27" s="1"/>
      <c r="B27" s="72" t="s">
        <v>48</v>
      </c>
      <c r="C27" s="72"/>
      <c r="D27" s="72"/>
      <c r="E27" s="72"/>
      <c r="F27" s="58">
        <v>3</v>
      </c>
      <c r="G27" s="10"/>
      <c r="H27" s="10"/>
      <c r="I27" s="10"/>
      <c r="J27" s="10"/>
      <c r="K27" s="1"/>
      <c r="L27" s="1"/>
      <c r="M27" s="1"/>
      <c r="N27" s="18"/>
      <c r="O27" s="1"/>
      <c r="P27" s="1"/>
      <c r="Q27" s="1"/>
      <c r="R27" s="1"/>
      <c r="S27" s="1"/>
      <c r="T27" s="6"/>
      <c r="U27" s="6"/>
      <c r="V27" s="6"/>
      <c r="W27" s="6"/>
      <c r="X27" s="6"/>
      <c r="Y27" s="6"/>
    </row>
    <row r="28" spans="1:32" ht="26.1" customHeight="1" x14ac:dyDescent="0.25">
      <c r="A28" s="1"/>
      <c r="B28" s="72" t="s">
        <v>34</v>
      </c>
      <c r="C28" s="72"/>
      <c r="D28" s="72"/>
      <c r="E28" s="72"/>
      <c r="F28" s="39">
        <f>31*24*F27</f>
        <v>2232</v>
      </c>
      <c r="G28" s="14"/>
      <c r="H28" s="39"/>
      <c r="I28" s="14"/>
      <c r="J28" s="14"/>
      <c r="K28" s="1"/>
      <c r="L28" s="1"/>
      <c r="M28" s="1"/>
      <c r="N28" s="18"/>
      <c r="O28" s="1"/>
      <c r="P28" s="1"/>
      <c r="Q28" s="1"/>
      <c r="R28" s="1"/>
      <c r="S28" s="1"/>
      <c r="T28" s="6"/>
      <c r="U28" s="6"/>
      <c r="V28" s="6"/>
      <c r="W28" s="6"/>
      <c r="X28" s="6"/>
      <c r="Y28" s="6"/>
    </row>
    <row r="29" spans="1:32" ht="26.1" customHeight="1" x14ac:dyDescent="0.25">
      <c r="A29" s="1"/>
      <c r="B29" s="72" t="s">
        <v>38</v>
      </c>
      <c r="C29" s="72"/>
      <c r="D29" s="72"/>
      <c r="E29" s="72"/>
      <c r="F29" s="39">
        <v>0</v>
      </c>
      <c r="G29" s="14"/>
      <c r="H29" s="14"/>
      <c r="I29" s="14"/>
      <c r="J29" s="14"/>
      <c r="K29" s="1"/>
      <c r="L29" s="55"/>
      <c r="M29" s="1"/>
      <c r="N29" s="18"/>
      <c r="O29" s="1"/>
      <c r="P29" s="54"/>
      <c r="Q29" s="54"/>
      <c r="R29" s="1"/>
      <c r="S29" s="1"/>
      <c r="T29" s="6"/>
      <c r="U29" s="6"/>
      <c r="V29" s="6"/>
      <c r="W29" s="6"/>
      <c r="X29" s="6"/>
      <c r="Y29" s="6"/>
    </row>
    <row r="30" spans="1:32" ht="26.1" customHeight="1" x14ac:dyDescent="0.25">
      <c r="A30" s="1"/>
      <c r="B30" s="72" t="s">
        <v>39</v>
      </c>
      <c r="C30" s="72"/>
      <c r="D30" s="72"/>
      <c r="E30" s="72"/>
      <c r="F30" s="38">
        <f>F28-F29</f>
        <v>2232</v>
      </c>
      <c r="G30" s="15"/>
      <c r="H30" s="15"/>
      <c r="I30" s="15"/>
      <c r="J30" s="15"/>
      <c r="K30" s="1"/>
      <c r="L30" s="1"/>
      <c r="M30" s="1"/>
      <c r="N30" s="18"/>
      <c r="O30" s="1"/>
      <c r="P30" s="1"/>
      <c r="Q30" s="1"/>
      <c r="R30" s="1"/>
      <c r="S30" s="1"/>
      <c r="T30" s="6"/>
      <c r="U30" s="6"/>
      <c r="V30" s="6"/>
      <c r="W30" s="6"/>
      <c r="X30" s="6"/>
      <c r="Y30" s="6"/>
    </row>
    <row r="31" spans="1:32" ht="26.1" customHeight="1" x14ac:dyDescent="0.25">
      <c r="A31" s="1"/>
      <c r="B31" s="71" t="s">
        <v>40</v>
      </c>
      <c r="C31" s="71"/>
      <c r="D31" s="71"/>
      <c r="E31" s="71"/>
      <c r="F31" s="40">
        <f>P18</f>
        <v>2533</v>
      </c>
      <c r="G31" s="15"/>
      <c r="H31" s="15"/>
      <c r="I31" s="15"/>
      <c r="J31" s="15"/>
      <c r="K31" s="1"/>
      <c r="L31" s="1"/>
      <c r="M31" s="1"/>
      <c r="N31" s="18"/>
      <c r="O31" s="1"/>
      <c r="P31" s="1"/>
      <c r="Q31" s="1"/>
      <c r="R31" s="1"/>
      <c r="S31" s="1"/>
      <c r="T31" s="11"/>
      <c r="U31" s="11"/>
      <c r="V31" s="11"/>
      <c r="W31" s="11"/>
      <c r="X31" s="11"/>
      <c r="Y31" s="11"/>
    </row>
    <row r="32" spans="1:32" ht="26.1" customHeight="1" x14ac:dyDescent="0.25">
      <c r="A32" s="1"/>
      <c r="B32" s="71" t="s">
        <v>41</v>
      </c>
      <c r="C32" s="71"/>
      <c r="D32" s="71"/>
      <c r="E32" s="71"/>
      <c r="F32" s="59">
        <f>-(F30-F31)</f>
        <v>301</v>
      </c>
      <c r="G32" s="14"/>
      <c r="H32" s="14"/>
      <c r="I32" s="14"/>
      <c r="J32" s="15"/>
      <c r="K32" s="15"/>
      <c r="L32" s="15"/>
      <c r="M32" s="13"/>
      <c r="N32" s="7"/>
      <c r="O32" s="7"/>
      <c r="P32" s="11"/>
      <c r="Q32" s="5"/>
      <c r="R32" s="11"/>
      <c r="S32" s="11"/>
      <c r="T32" s="11"/>
      <c r="U32" s="5"/>
      <c r="V32" s="5"/>
      <c r="W32" s="5"/>
      <c r="X32" s="5"/>
      <c r="Y32" s="7"/>
    </row>
    <row r="33" ht="26.1" customHeight="1" x14ac:dyDescent="0.25"/>
    <row r="34" ht="26.1" customHeight="1" x14ac:dyDescent="0.25"/>
    <row r="35" ht="26.1" customHeight="1" x14ac:dyDescent="0.25"/>
  </sheetData>
  <mergeCells count="10">
    <mergeCell ref="B3:D3"/>
    <mergeCell ref="B27:E27"/>
    <mergeCell ref="W19:X19"/>
    <mergeCell ref="E24:F24"/>
    <mergeCell ref="B29:E29"/>
    <mergeCell ref="B32:E32"/>
    <mergeCell ref="B31:E31"/>
    <mergeCell ref="B28:E28"/>
    <mergeCell ref="B30:E30"/>
    <mergeCell ref="L19:N19"/>
  </mergeCells>
  <pageMargins left="0.25" right="0.25" top="0.75" bottom="0.75" header="0.3" footer="0.3"/>
  <pageSetup paperSize="9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35"/>
  <sheetViews>
    <sheetView zoomScale="40" zoomScaleNormal="40" workbookViewId="0">
      <selection activeCell="Y30" sqref="A1:XFD1048576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2.85546875" bestFit="1" customWidth="1"/>
    <col min="9" max="9" width="11.140625" bestFit="1" customWidth="1"/>
    <col min="16" max="16" width="13" bestFit="1" customWidth="1"/>
    <col min="17" max="17" width="16.140625" bestFit="1" customWidth="1"/>
    <col min="18" max="18" width="13" bestFit="1" customWidth="1"/>
    <col min="19" max="19" width="14.42578125" bestFit="1" customWidth="1"/>
    <col min="20" max="21" width="13.28515625" bestFit="1" customWidth="1"/>
    <col min="22" max="22" width="13.7109375" customWidth="1"/>
    <col min="23" max="23" width="13.28515625" bestFit="1" customWidth="1"/>
    <col min="24" max="24" width="12.85546875" bestFit="1" customWidth="1"/>
    <col min="25" max="25" width="15.42578125" bestFit="1" customWidth="1"/>
  </cols>
  <sheetData>
    <row r="1" spans="1:37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7" ht="26.25" x14ac:dyDescent="0.4">
      <c r="A2" s="19"/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37" ht="26.25" x14ac:dyDescent="0.4">
      <c r="A3" s="19"/>
      <c r="B3" s="75">
        <v>44986</v>
      </c>
      <c r="C3" s="75"/>
      <c r="D3" s="75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7" ht="60" x14ac:dyDescent="0.25">
      <c r="A4" s="1"/>
      <c r="B4" s="24" t="s">
        <v>1</v>
      </c>
      <c r="C4" s="24" t="s">
        <v>2</v>
      </c>
      <c r="D4" s="25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 t="s">
        <v>14</v>
      </c>
      <c r="P4" s="24" t="s">
        <v>15</v>
      </c>
      <c r="Q4" s="24" t="s">
        <v>16</v>
      </c>
      <c r="R4" s="24" t="s">
        <v>4</v>
      </c>
      <c r="S4" s="24" t="s">
        <v>5</v>
      </c>
      <c r="T4" s="24" t="s">
        <v>6</v>
      </c>
      <c r="U4" s="24" t="s">
        <v>17</v>
      </c>
      <c r="V4" s="24" t="s">
        <v>18</v>
      </c>
      <c r="W4" s="24" t="s">
        <v>19</v>
      </c>
      <c r="X4" s="24" t="s">
        <v>20</v>
      </c>
      <c r="Y4" s="24" t="s">
        <v>21</v>
      </c>
      <c r="AD4" s="29" t="s">
        <v>21</v>
      </c>
      <c r="AE4" s="30" t="s">
        <v>36</v>
      </c>
      <c r="AF4" s="30" t="s">
        <v>37</v>
      </c>
      <c r="AG4" s="31" t="s">
        <v>21</v>
      </c>
    </row>
    <row r="5" spans="1:37" ht="26.1" customHeight="1" x14ac:dyDescent="0.25">
      <c r="A5" s="1"/>
      <c r="B5" s="2">
        <v>1</v>
      </c>
      <c r="C5" s="4" t="s">
        <v>22</v>
      </c>
      <c r="D5" s="4" t="s">
        <v>3</v>
      </c>
      <c r="E5" s="2"/>
      <c r="F5" s="32"/>
      <c r="G5" s="2">
        <v>1</v>
      </c>
      <c r="H5" s="2"/>
      <c r="I5" s="3" t="s">
        <v>52</v>
      </c>
      <c r="J5" s="2"/>
      <c r="K5" s="2"/>
      <c r="L5" s="26">
        <v>17</v>
      </c>
      <c r="M5" s="26">
        <v>0</v>
      </c>
      <c r="N5" s="26">
        <v>216</v>
      </c>
      <c r="O5" s="26"/>
      <c r="P5" s="47">
        <f t="shared" ref="P5:P17" si="0">SUM(L5:O5)</f>
        <v>233</v>
      </c>
      <c r="Q5" s="47">
        <f>((data!$A$3/8)*L5)+((data!$B$3/8)*(M5+N5+O5))+(P5*$E$24)</f>
        <v>920340.64885496185</v>
      </c>
      <c r="R5" s="47">
        <f t="shared" ref="R5:R16" si="1">IF(D5="Percobaan",0,IF(AND(E5="",G5&gt;0,H5="ok"),100000,IF(AND(E5="",G5&gt;0,H5=""),50000,IF(AND(E5=""),100000,0))))</f>
        <v>50000</v>
      </c>
      <c r="S5" s="47">
        <f t="shared" ref="S5:S16" si="2">((P5/8)*1000)</f>
        <v>29125</v>
      </c>
      <c r="T5" s="47">
        <f t="shared" ref="T5:T17" si="3">IF(AND(G5&gt;0,H5=""),50000,IF(AND(G5&gt;0,H5="ok"),G5*50000,0))</f>
        <v>50000</v>
      </c>
      <c r="U5" s="47">
        <f t="shared" ref="U5:U17" si="4">IF(OR(D5="Percobaan",D5=""),0,IF(I5="+",P5/8*3000,IF(I5="-",0,P5/8*2000)))</f>
        <v>87375</v>
      </c>
      <c r="V5" s="47">
        <f t="shared" ref="V5:V17" si="5">J5*-12500</f>
        <v>0</v>
      </c>
      <c r="W5" s="47">
        <f t="shared" ref="W5:W7" si="6">IF(K5="ok",50000+AA5,0+AA5)</f>
        <v>0</v>
      </c>
      <c r="X5" s="47">
        <f t="shared" ref="X5:X8" si="7">AC5</f>
        <v>0</v>
      </c>
      <c r="Y5" s="47">
        <f t="shared" ref="Y5:Y16" si="8">CEILING(SUM(Q5:X5),500)</f>
        <v>1137000</v>
      </c>
      <c r="AD5">
        <f>P5/8</f>
        <v>29.125</v>
      </c>
      <c r="AE5">
        <f>O5/8</f>
        <v>0</v>
      </c>
      <c r="AF5">
        <f>AD5-AE5</f>
        <v>29.125</v>
      </c>
    </row>
    <row r="6" spans="1:37" ht="26.1" customHeight="1" x14ac:dyDescent="0.25">
      <c r="A6" s="1"/>
      <c r="B6" s="41">
        <v>2</v>
      </c>
      <c r="C6" s="42" t="s">
        <v>49</v>
      </c>
      <c r="D6" s="43" t="s">
        <v>25</v>
      </c>
      <c r="E6" s="44"/>
      <c r="F6" s="43"/>
      <c r="G6" s="44"/>
      <c r="H6" s="44"/>
      <c r="I6" s="44" t="s">
        <v>52</v>
      </c>
      <c r="J6" s="41"/>
      <c r="K6" s="44" t="s">
        <v>23</v>
      </c>
      <c r="L6" s="48">
        <v>80</v>
      </c>
      <c r="M6" s="48">
        <v>107</v>
      </c>
      <c r="N6" s="48">
        <v>50</v>
      </c>
      <c r="O6" s="49"/>
      <c r="P6" s="50">
        <f t="shared" si="0"/>
        <v>237</v>
      </c>
      <c r="Q6" s="47">
        <f>((data!$A$3/8)*L6)+((data!$B$3/8)*(M6+N6+O6))+(P6*$E$24)</f>
        <v>943979.00763358781</v>
      </c>
      <c r="R6" s="50">
        <v>0</v>
      </c>
      <c r="S6" s="47">
        <f t="shared" si="2"/>
        <v>29625</v>
      </c>
      <c r="T6" s="50">
        <v>0</v>
      </c>
      <c r="U6" s="50">
        <f t="shared" si="4"/>
        <v>0</v>
      </c>
      <c r="V6" s="50">
        <f t="shared" si="5"/>
        <v>0</v>
      </c>
      <c r="W6" s="50">
        <v>50000</v>
      </c>
      <c r="X6" s="50">
        <f t="shared" si="7"/>
        <v>0</v>
      </c>
      <c r="Y6" s="50">
        <f t="shared" si="8"/>
        <v>1024000</v>
      </c>
      <c r="AD6">
        <f t="shared" ref="AD6:AD17" si="9">P6/8</f>
        <v>29.625</v>
      </c>
      <c r="AE6">
        <f t="shared" ref="AE6:AE17" si="10">O6/8</f>
        <v>0</v>
      </c>
      <c r="AF6">
        <f t="shared" ref="AF6:AF17" si="11">AD6-AE6</f>
        <v>29.625</v>
      </c>
    </row>
    <row r="7" spans="1:37" ht="26.1" customHeight="1" x14ac:dyDescent="0.25">
      <c r="A7" s="1"/>
      <c r="B7" s="2">
        <v>3</v>
      </c>
      <c r="C7" s="32" t="s">
        <v>56</v>
      </c>
      <c r="D7" s="4" t="s">
        <v>57</v>
      </c>
      <c r="E7" s="3"/>
      <c r="F7" s="4"/>
      <c r="G7" s="3"/>
      <c r="H7" s="3"/>
      <c r="I7" s="3" t="s">
        <v>50</v>
      </c>
      <c r="J7" s="2"/>
      <c r="K7" s="3"/>
      <c r="L7" s="27">
        <v>0</v>
      </c>
      <c r="M7" s="27">
        <v>0</v>
      </c>
      <c r="N7" s="27">
        <v>104</v>
      </c>
      <c r="O7" s="27">
        <v>0</v>
      </c>
      <c r="P7" s="47">
        <f>SUM(L7:O7)</f>
        <v>104</v>
      </c>
      <c r="Q7" s="47">
        <f>((data!$A$3/8)*L7)+((data!$B$3/8)*(M7+N7+O7))+(P7*$E$24)</f>
        <v>409847.32824427483</v>
      </c>
      <c r="R7" s="47">
        <f t="shared" si="1"/>
        <v>0</v>
      </c>
      <c r="S7" s="47">
        <f t="shared" si="2"/>
        <v>13000</v>
      </c>
      <c r="T7" s="47">
        <f t="shared" si="3"/>
        <v>0</v>
      </c>
      <c r="U7" s="47">
        <f t="shared" si="4"/>
        <v>0</v>
      </c>
      <c r="V7" s="47">
        <f t="shared" si="5"/>
        <v>0</v>
      </c>
      <c r="W7" s="47">
        <f t="shared" si="6"/>
        <v>0</v>
      </c>
      <c r="X7" s="47">
        <f t="shared" si="7"/>
        <v>0</v>
      </c>
      <c r="Y7" s="47">
        <f t="shared" si="8"/>
        <v>423000</v>
      </c>
      <c r="AD7">
        <f t="shared" si="9"/>
        <v>13</v>
      </c>
      <c r="AE7">
        <f t="shared" si="10"/>
        <v>0</v>
      </c>
      <c r="AF7">
        <f t="shared" si="11"/>
        <v>13</v>
      </c>
    </row>
    <row r="8" spans="1:37" ht="26.1" customHeight="1" x14ac:dyDescent="0.25">
      <c r="A8" s="1"/>
      <c r="B8" s="2">
        <v>4</v>
      </c>
      <c r="C8" s="4" t="s">
        <v>53</v>
      </c>
      <c r="D8" s="4" t="s">
        <v>25</v>
      </c>
      <c r="E8" s="2" t="s">
        <v>54</v>
      </c>
      <c r="F8" s="4"/>
      <c r="G8" s="3"/>
      <c r="H8" s="3"/>
      <c r="I8" s="3" t="s">
        <v>52</v>
      </c>
      <c r="J8" s="2"/>
      <c r="K8" s="3"/>
      <c r="L8" s="27">
        <v>14</v>
      </c>
      <c r="M8" s="27">
        <v>164</v>
      </c>
      <c r="N8" s="27">
        <v>41</v>
      </c>
      <c r="O8" s="27">
        <v>8</v>
      </c>
      <c r="P8" s="47">
        <f t="shared" si="0"/>
        <v>227</v>
      </c>
      <c r="Q8" s="47">
        <f>((data!$A$3/8)*L8)+((data!$B$3/8)*(M8+N8+O8))+(P8*$E$24)</f>
        <v>896320.61068702291</v>
      </c>
      <c r="R8" s="47">
        <f t="shared" si="1"/>
        <v>0</v>
      </c>
      <c r="S8" s="47">
        <f t="shared" si="2"/>
        <v>28375</v>
      </c>
      <c r="T8" s="47">
        <f t="shared" si="3"/>
        <v>0</v>
      </c>
      <c r="U8" s="47">
        <f t="shared" si="4"/>
        <v>0</v>
      </c>
      <c r="V8" s="47">
        <f t="shared" si="5"/>
        <v>0</v>
      </c>
      <c r="W8" s="47">
        <v>0</v>
      </c>
      <c r="X8" s="47">
        <f t="shared" si="7"/>
        <v>0</v>
      </c>
      <c r="Y8" s="47">
        <f t="shared" si="8"/>
        <v>925000</v>
      </c>
      <c r="AD8">
        <f t="shared" si="9"/>
        <v>28.375</v>
      </c>
      <c r="AE8">
        <f t="shared" si="10"/>
        <v>1</v>
      </c>
      <c r="AF8">
        <f t="shared" si="11"/>
        <v>27.375</v>
      </c>
    </row>
    <row r="9" spans="1:37" ht="26.1" customHeight="1" x14ac:dyDescent="0.25">
      <c r="A9" s="1"/>
      <c r="B9" s="22">
        <v>5</v>
      </c>
      <c r="C9" s="23" t="s">
        <v>26</v>
      </c>
      <c r="D9" s="23" t="s">
        <v>3</v>
      </c>
      <c r="E9" s="22"/>
      <c r="F9" s="23"/>
      <c r="G9" s="21">
        <v>1</v>
      </c>
      <c r="H9" s="21" t="s">
        <v>23</v>
      </c>
      <c r="I9" s="21" t="s">
        <v>52</v>
      </c>
      <c r="J9" s="22"/>
      <c r="K9" s="21" t="s">
        <v>23</v>
      </c>
      <c r="L9" s="28">
        <v>5</v>
      </c>
      <c r="M9" s="28">
        <v>8</v>
      </c>
      <c r="N9" s="28">
        <v>71</v>
      </c>
      <c r="O9" s="28">
        <v>148</v>
      </c>
      <c r="P9" s="51">
        <f t="shared" si="0"/>
        <v>232</v>
      </c>
      <c r="Q9" s="47">
        <f>((data!$A$3/8)*L9)+((data!$B$3/8)*(M9+N9+O9))+(P9*$E$24)</f>
        <v>914899.8091603053</v>
      </c>
      <c r="R9" s="51">
        <f t="shared" si="1"/>
        <v>100000</v>
      </c>
      <c r="S9" s="47">
        <f t="shared" si="2"/>
        <v>29000</v>
      </c>
      <c r="T9" s="51">
        <f t="shared" si="3"/>
        <v>50000</v>
      </c>
      <c r="U9" s="51">
        <f t="shared" si="4"/>
        <v>87000</v>
      </c>
      <c r="V9" s="51">
        <f t="shared" si="5"/>
        <v>0</v>
      </c>
      <c r="W9" s="51">
        <f t="shared" ref="W9:W15" si="12">IF(K9="ok",50000+AA10,0+AA10)</f>
        <v>50000</v>
      </c>
      <c r="X9" s="51"/>
      <c r="Y9" s="51">
        <f t="shared" si="8"/>
        <v>1231000</v>
      </c>
      <c r="AD9">
        <f t="shared" si="9"/>
        <v>29</v>
      </c>
      <c r="AE9">
        <f t="shared" si="10"/>
        <v>18.5</v>
      </c>
      <c r="AF9">
        <f t="shared" si="11"/>
        <v>10.5</v>
      </c>
      <c r="AH9">
        <v>27</v>
      </c>
      <c r="AI9">
        <v>23</v>
      </c>
      <c r="AJ9">
        <v>4</v>
      </c>
      <c r="AK9">
        <v>1016000</v>
      </c>
    </row>
    <row r="10" spans="1:37" ht="26.1" customHeight="1" x14ac:dyDescent="0.25">
      <c r="A10" s="1"/>
      <c r="B10" s="22">
        <v>6</v>
      </c>
      <c r="C10" s="33" t="s">
        <v>27</v>
      </c>
      <c r="D10" s="23" t="s">
        <v>3</v>
      </c>
      <c r="E10" s="21"/>
      <c r="F10" s="21" t="s">
        <v>58</v>
      </c>
      <c r="G10" s="21">
        <v>4</v>
      </c>
      <c r="H10" s="21" t="s">
        <v>23</v>
      </c>
      <c r="I10" s="21" t="s">
        <v>52</v>
      </c>
      <c r="J10" s="22"/>
      <c r="K10" s="21" t="s">
        <v>23</v>
      </c>
      <c r="L10" s="28">
        <v>0</v>
      </c>
      <c r="M10" s="28">
        <v>216</v>
      </c>
      <c r="N10" s="28">
        <v>15</v>
      </c>
      <c r="O10" s="28">
        <v>0</v>
      </c>
      <c r="P10" s="51">
        <f t="shared" si="0"/>
        <v>231</v>
      </c>
      <c r="Q10" s="47">
        <f>((data!$A$3/8)*L10)+((data!$B$3/8)*(M10+N10+O10))+(P10*$E$24)</f>
        <v>910333.96946564887</v>
      </c>
      <c r="R10" s="51">
        <v>50000</v>
      </c>
      <c r="S10" s="47"/>
      <c r="T10" s="51">
        <f t="shared" si="3"/>
        <v>200000</v>
      </c>
      <c r="U10" s="51">
        <f t="shared" si="4"/>
        <v>86625</v>
      </c>
      <c r="V10" s="51">
        <f t="shared" si="5"/>
        <v>0</v>
      </c>
      <c r="W10" s="51">
        <f t="shared" si="12"/>
        <v>50000</v>
      </c>
      <c r="X10" s="51"/>
      <c r="Y10" s="51">
        <f t="shared" si="8"/>
        <v>1297000</v>
      </c>
      <c r="AD10">
        <f t="shared" si="9"/>
        <v>28.875</v>
      </c>
      <c r="AE10">
        <f t="shared" si="10"/>
        <v>0</v>
      </c>
      <c r="AF10">
        <f t="shared" si="11"/>
        <v>28.875</v>
      </c>
      <c r="AH10">
        <v>53.75</v>
      </c>
      <c r="AI10">
        <v>38.25</v>
      </c>
      <c r="AJ10">
        <v>15.5</v>
      </c>
      <c r="AK10">
        <v>1988500</v>
      </c>
    </row>
    <row r="11" spans="1:37" ht="26.1" customHeight="1" x14ac:dyDescent="0.25">
      <c r="A11" s="1"/>
      <c r="B11" s="2">
        <v>7</v>
      </c>
      <c r="C11" s="32" t="s">
        <v>28</v>
      </c>
      <c r="D11" s="4" t="s">
        <v>25</v>
      </c>
      <c r="E11" s="2" t="s">
        <v>51</v>
      </c>
      <c r="F11" s="3"/>
      <c r="G11" s="3">
        <v>1</v>
      </c>
      <c r="H11" s="3"/>
      <c r="I11" s="3" t="s">
        <v>50</v>
      </c>
      <c r="J11" s="2"/>
      <c r="K11" s="3"/>
      <c r="L11" s="27">
        <v>0</v>
      </c>
      <c r="M11" s="27">
        <v>0</v>
      </c>
      <c r="N11" s="27">
        <v>0</v>
      </c>
      <c r="O11" s="27">
        <v>48</v>
      </c>
      <c r="P11" s="47">
        <f t="shared" si="0"/>
        <v>48</v>
      </c>
      <c r="Q11" s="47">
        <f>((data!$A$3/8)*L11)+((data!$B$3/8)*(M11+N11+O11))+(P11*$E$24)</f>
        <v>189160.30534351146</v>
      </c>
      <c r="R11" s="47">
        <f t="shared" si="1"/>
        <v>0</v>
      </c>
      <c r="S11" s="47">
        <f t="shared" si="2"/>
        <v>6000</v>
      </c>
      <c r="T11" s="47">
        <f t="shared" si="3"/>
        <v>50000</v>
      </c>
      <c r="U11" s="47">
        <f t="shared" si="4"/>
        <v>0</v>
      </c>
      <c r="V11" s="47">
        <f t="shared" si="5"/>
        <v>0</v>
      </c>
      <c r="W11" s="47">
        <f t="shared" si="12"/>
        <v>0</v>
      </c>
      <c r="X11" s="47"/>
      <c r="Y11" s="47">
        <f t="shared" si="8"/>
        <v>245500</v>
      </c>
      <c r="AD11">
        <f t="shared" si="9"/>
        <v>6</v>
      </c>
      <c r="AE11">
        <f t="shared" si="10"/>
        <v>6</v>
      </c>
      <c r="AF11">
        <f t="shared" si="11"/>
        <v>0</v>
      </c>
    </row>
    <row r="12" spans="1:37" ht="26.1" customHeight="1" x14ac:dyDescent="0.25">
      <c r="A12" s="1"/>
      <c r="B12" s="2">
        <v>8</v>
      </c>
      <c r="C12" s="32" t="s">
        <v>29</v>
      </c>
      <c r="D12" s="4" t="s">
        <v>3</v>
      </c>
      <c r="E12" s="2"/>
      <c r="F12" s="4"/>
      <c r="G12" s="3">
        <v>1</v>
      </c>
      <c r="H12" s="3" t="s">
        <v>23</v>
      </c>
      <c r="I12" s="3" t="s">
        <v>50</v>
      </c>
      <c r="J12" s="2"/>
      <c r="K12" s="3"/>
      <c r="L12" s="27">
        <v>34</v>
      </c>
      <c r="M12" s="27">
        <v>18</v>
      </c>
      <c r="N12" s="27">
        <v>91</v>
      </c>
      <c r="O12" s="27">
        <v>64</v>
      </c>
      <c r="P12" s="47">
        <f t="shared" si="0"/>
        <v>207</v>
      </c>
      <c r="Q12" s="47">
        <f>((data!$A$3/8)*L12)+((data!$B$3/8)*(M12+N12+O12))+(P12*$E$24)</f>
        <v>820003.81679389311</v>
      </c>
      <c r="R12" s="47">
        <f t="shared" si="1"/>
        <v>100000</v>
      </c>
      <c r="S12" s="47">
        <f t="shared" si="2"/>
        <v>25875</v>
      </c>
      <c r="T12" s="47">
        <f t="shared" si="3"/>
        <v>50000</v>
      </c>
      <c r="U12" s="47">
        <f t="shared" si="4"/>
        <v>0</v>
      </c>
      <c r="V12" s="47">
        <f t="shared" si="5"/>
        <v>0</v>
      </c>
      <c r="W12" s="47">
        <f t="shared" si="12"/>
        <v>0</v>
      </c>
      <c r="X12" s="47">
        <f t="shared" ref="X12:X17" si="13">AC13</f>
        <v>0</v>
      </c>
      <c r="Y12" s="47">
        <f t="shared" si="8"/>
        <v>996000</v>
      </c>
      <c r="AD12">
        <f t="shared" si="9"/>
        <v>25.875</v>
      </c>
      <c r="AE12">
        <f t="shared" si="10"/>
        <v>8</v>
      </c>
      <c r="AF12">
        <f t="shared" si="11"/>
        <v>17.875</v>
      </c>
    </row>
    <row r="13" spans="1:37" ht="26.1" customHeight="1" x14ac:dyDescent="0.25">
      <c r="A13" s="1"/>
      <c r="B13" s="2">
        <v>9</v>
      </c>
      <c r="C13" s="32" t="s">
        <v>30</v>
      </c>
      <c r="D13" s="4" t="s">
        <v>3</v>
      </c>
      <c r="E13" s="2" t="s">
        <v>55</v>
      </c>
      <c r="F13" s="4"/>
      <c r="G13" s="3">
        <v>1</v>
      </c>
      <c r="H13" s="3"/>
      <c r="I13" s="3" t="s">
        <v>50</v>
      </c>
      <c r="J13" s="2"/>
      <c r="K13" s="3"/>
      <c r="L13" s="27">
        <v>148</v>
      </c>
      <c r="M13" s="27">
        <v>10</v>
      </c>
      <c r="N13" s="27">
        <v>8</v>
      </c>
      <c r="O13" s="27">
        <v>8</v>
      </c>
      <c r="P13" s="47">
        <f t="shared" si="0"/>
        <v>174</v>
      </c>
      <c r="Q13" s="47">
        <f>((data!$A$3/8)*L13)+((data!$B$3/8)*(M13+N13+O13))+(P13*$E$24)</f>
        <v>704206.10687022901</v>
      </c>
      <c r="R13" s="47">
        <f t="shared" si="1"/>
        <v>0</v>
      </c>
      <c r="S13" s="47">
        <f t="shared" si="2"/>
        <v>21750</v>
      </c>
      <c r="T13" s="47">
        <f t="shared" si="3"/>
        <v>50000</v>
      </c>
      <c r="U13" s="47">
        <f t="shared" si="4"/>
        <v>0</v>
      </c>
      <c r="V13" s="47">
        <f t="shared" si="5"/>
        <v>0</v>
      </c>
      <c r="W13" s="47">
        <f t="shared" si="12"/>
        <v>0</v>
      </c>
      <c r="X13" s="47">
        <f t="shared" si="13"/>
        <v>0</v>
      </c>
      <c r="Y13" s="47">
        <f t="shared" si="8"/>
        <v>776000</v>
      </c>
      <c r="AD13">
        <f t="shared" si="9"/>
        <v>21.75</v>
      </c>
      <c r="AE13">
        <f t="shared" si="10"/>
        <v>1</v>
      </c>
      <c r="AF13">
        <f t="shared" si="11"/>
        <v>20.75</v>
      </c>
    </row>
    <row r="14" spans="1:37" ht="26.1" customHeight="1" x14ac:dyDescent="0.25">
      <c r="A14" s="1"/>
      <c r="B14" s="2">
        <v>10</v>
      </c>
      <c r="C14" s="32" t="s">
        <v>31</v>
      </c>
      <c r="D14" s="4" t="s">
        <v>3</v>
      </c>
      <c r="E14" s="3"/>
      <c r="F14" s="4"/>
      <c r="G14" s="3">
        <v>1</v>
      </c>
      <c r="H14" s="3"/>
      <c r="I14" s="3" t="s">
        <v>52</v>
      </c>
      <c r="J14" s="2"/>
      <c r="K14" s="3" t="s">
        <v>23</v>
      </c>
      <c r="L14" s="27">
        <v>236</v>
      </c>
      <c r="M14" s="27">
        <v>13</v>
      </c>
      <c r="N14" s="27">
        <v>18</v>
      </c>
      <c r="O14" s="27">
        <v>0</v>
      </c>
      <c r="P14" s="47">
        <f t="shared" si="0"/>
        <v>267</v>
      </c>
      <c r="Q14" s="47">
        <f>((data!$A$3/8)*L14)+((data!$B$3/8)*(M14+N14+O14))+(P14*$E$24)</f>
        <v>1081704.1984732824</v>
      </c>
      <c r="R14" s="47">
        <f t="shared" si="1"/>
        <v>50000</v>
      </c>
      <c r="S14" s="47">
        <f t="shared" si="2"/>
        <v>33375</v>
      </c>
      <c r="T14" s="47">
        <f t="shared" si="3"/>
        <v>50000</v>
      </c>
      <c r="U14" s="47">
        <f t="shared" si="4"/>
        <v>100125</v>
      </c>
      <c r="V14" s="47">
        <f t="shared" si="5"/>
        <v>0</v>
      </c>
      <c r="W14" s="47">
        <f t="shared" si="12"/>
        <v>50000</v>
      </c>
      <c r="X14" s="47">
        <f t="shared" si="13"/>
        <v>0</v>
      </c>
      <c r="Y14" s="47">
        <f t="shared" si="8"/>
        <v>1365500</v>
      </c>
      <c r="AD14">
        <f t="shared" si="9"/>
        <v>33.375</v>
      </c>
      <c r="AE14">
        <f t="shared" si="10"/>
        <v>0</v>
      </c>
      <c r="AF14">
        <f t="shared" si="11"/>
        <v>33.375</v>
      </c>
    </row>
    <row r="15" spans="1:37" ht="26.1" customHeight="1" x14ac:dyDescent="0.25">
      <c r="A15" s="1"/>
      <c r="B15" s="2">
        <v>11</v>
      </c>
      <c r="C15" s="32" t="s">
        <v>32</v>
      </c>
      <c r="D15" s="4" t="s">
        <v>3</v>
      </c>
      <c r="E15" s="2" t="s">
        <v>51</v>
      </c>
      <c r="F15" s="4"/>
      <c r="G15" s="3">
        <v>1</v>
      </c>
      <c r="H15" s="3"/>
      <c r="I15" s="3" t="s">
        <v>52</v>
      </c>
      <c r="J15" s="2"/>
      <c r="K15" s="3"/>
      <c r="L15" s="27">
        <v>210</v>
      </c>
      <c r="M15" s="27">
        <v>6</v>
      </c>
      <c r="N15" s="27">
        <v>4</v>
      </c>
      <c r="O15" s="27">
        <v>0</v>
      </c>
      <c r="P15" s="47">
        <f t="shared" si="0"/>
        <v>220</v>
      </c>
      <c r="Q15" s="47">
        <f>((data!$A$3/8)*L15)+((data!$B$3/8)*(M15+N15+O15))+(P15*$E$24)</f>
        <v>893234.73282442754</v>
      </c>
      <c r="R15" s="47">
        <f t="shared" si="1"/>
        <v>0</v>
      </c>
      <c r="S15" s="47">
        <f t="shared" si="2"/>
        <v>27500</v>
      </c>
      <c r="T15" s="47">
        <f t="shared" si="3"/>
        <v>50000</v>
      </c>
      <c r="U15" s="47">
        <f t="shared" si="4"/>
        <v>82500</v>
      </c>
      <c r="V15" s="47">
        <f t="shared" si="5"/>
        <v>0</v>
      </c>
      <c r="W15" s="47">
        <f t="shared" si="12"/>
        <v>0</v>
      </c>
      <c r="X15" s="47">
        <f t="shared" si="13"/>
        <v>0</v>
      </c>
      <c r="Y15" s="47">
        <f t="shared" si="8"/>
        <v>1053500</v>
      </c>
      <c r="AD15">
        <f t="shared" si="9"/>
        <v>27.5</v>
      </c>
      <c r="AE15">
        <f t="shared" si="10"/>
        <v>0</v>
      </c>
      <c r="AF15">
        <f t="shared" si="11"/>
        <v>27.5</v>
      </c>
    </row>
    <row r="16" spans="1:37" ht="26.1" customHeight="1" x14ac:dyDescent="0.25">
      <c r="A16" s="1"/>
      <c r="B16" s="2">
        <v>12</v>
      </c>
      <c r="C16" s="32" t="s">
        <v>35</v>
      </c>
      <c r="D16" s="4" t="s">
        <v>25</v>
      </c>
      <c r="E16" s="2" t="s">
        <v>51</v>
      </c>
      <c r="F16" s="34"/>
      <c r="G16" s="34"/>
      <c r="H16" s="34"/>
      <c r="I16" s="3" t="s">
        <v>50</v>
      </c>
      <c r="J16" s="60"/>
      <c r="K16" s="34"/>
      <c r="L16" s="27">
        <v>0</v>
      </c>
      <c r="M16" s="27">
        <v>148</v>
      </c>
      <c r="N16" s="27">
        <v>44</v>
      </c>
      <c r="O16" s="27">
        <v>0</v>
      </c>
      <c r="P16" s="47">
        <f t="shared" si="0"/>
        <v>192</v>
      </c>
      <c r="Q16" s="47">
        <f>((data!$A$3/8)*L16)+((data!$B$3/8)*(M16+N16+O16))+(P16*$E$24)</f>
        <v>756641.22137404582</v>
      </c>
      <c r="R16" s="47">
        <f t="shared" si="1"/>
        <v>0</v>
      </c>
      <c r="S16" s="47">
        <f t="shared" si="2"/>
        <v>24000</v>
      </c>
      <c r="T16" s="47">
        <f t="shared" si="3"/>
        <v>0</v>
      </c>
      <c r="U16" s="47">
        <f t="shared" si="4"/>
        <v>0</v>
      </c>
      <c r="V16" s="47">
        <f t="shared" si="5"/>
        <v>0</v>
      </c>
      <c r="W16" s="47">
        <v>0</v>
      </c>
      <c r="X16" s="47">
        <f t="shared" si="13"/>
        <v>0</v>
      </c>
      <c r="Y16" s="47">
        <f t="shared" si="8"/>
        <v>781000</v>
      </c>
      <c r="AD16">
        <f t="shared" si="9"/>
        <v>24</v>
      </c>
      <c r="AE16">
        <f t="shared" si="10"/>
        <v>0</v>
      </c>
      <c r="AF16">
        <f t="shared" si="11"/>
        <v>24</v>
      </c>
    </row>
    <row r="17" spans="1:32" ht="26.1" customHeight="1" x14ac:dyDescent="0.25">
      <c r="A17" s="1"/>
      <c r="B17" s="2">
        <v>13</v>
      </c>
      <c r="C17" s="32"/>
      <c r="D17" s="4"/>
      <c r="E17" s="2"/>
      <c r="F17" s="34"/>
      <c r="G17" s="34"/>
      <c r="H17" s="34"/>
      <c r="I17" s="3"/>
      <c r="J17" s="34"/>
      <c r="K17" s="34"/>
      <c r="L17" s="27"/>
      <c r="M17" s="27"/>
      <c r="N17" s="27"/>
      <c r="O17" s="27">
        <v>0</v>
      </c>
      <c r="P17" s="47">
        <f t="shared" si="0"/>
        <v>0</v>
      </c>
      <c r="Q17" s="47">
        <f>((data!$A$3/8)*L17)+((data!$B$3/8)*(M17+N17+O17))+(P17*$E$24)</f>
        <v>0</v>
      </c>
      <c r="R17" s="47"/>
      <c r="S17" s="47">
        <f>((P17/8)*1000)</f>
        <v>0</v>
      </c>
      <c r="T17" s="47">
        <f t="shared" si="3"/>
        <v>0</v>
      </c>
      <c r="U17" s="47">
        <f t="shared" si="4"/>
        <v>0</v>
      </c>
      <c r="V17" s="47">
        <f t="shared" si="5"/>
        <v>0</v>
      </c>
      <c r="W17" s="47"/>
      <c r="X17" s="47">
        <f t="shared" si="13"/>
        <v>0</v>
      </c>
      <c r="Y17" s="47">
        <f t="shared" ref="Y17" si="14">CEILING(SUM(Q17:X17),500)</f>
        <v>0</v>
      </c>
      <c r="AD17">
        <f t="shared" si="9"/>
        <v>0</v>
      </c>
      <c r="AE17">
        <f t="shared" si="10"/>
        <v>0</v>
      </c>
      <c r="AF17">
        <f t="shared" si="11"/>
        <v>0</v>
      </c>
    </row>
    <row r="18" spans="1:32" ht="26.1" customHeight="1" x14ac:dyDescent="0.25">
      <c r="A18" s="1"/>
      <c r="B18" s="24"/>
      <c r="C18" s="35"/>
      <c r="D18" s="35"/>
      <c r="E18" s="24"/>
      <c r="F18" s="35"/>
      <c r="G18" s="25"/>
      <c r="H18" s="25"/>
      <c r="I18" s="25"/>
      <c r="J18" s="24"/>
      <c r="K18" s="25"/>
      <c r="L18" s="36">
        <f>SUM(L5:L17)</f>
        <v>744</v>
      </c>
      <c r="M18" s="36">
        <f t="shared" ref="M18:Y18" si="15">SUM(M5:M17)</f>
        <v>690</v>
      </c>
      <c r="N18" s="36">
        <f t="shared" si="15"/>
        <v>662</v>
      </c>
      <c r="O18" s="36">
        <f t="shared" si="15"/>
        <v>276</v>
      </c>
      <c r="P18" s="37">
        <f>SUM(P5:P17)</f>
        <v>2372</v>
      </c>
      <c r="Q18" s="37">
        <f t="shared" si="15"/>
        <v>9440671.7557251919</v>
      </c>
      <c r="R18" s="37">
        <f t="shared" si="15"/>
        <v>350000</v>
      </c>
      <c r="S18" s="37">
        <f t="shared" si="15"/>
        <v>267625</v>
      </c>
      <c r="T18" s="37">
        <f t="shared" si="15"/>
        <v>550000</v>
      </c>
      <c r="U18" s="37">
        <f t="shared" si="15"/>
        <v>443625</v>
      </c>
      <c r="V18" s="37">
        <f t="shared" si="15"/>
        <v>0</v>
      </c>
      <c r="W18" s="37">
        <f t="shared" si="15"/>
        <v>200000</v>
      </c>
      <c r="X18" s="37">
        <f t="shared" si="15"/>
        <v>0</v>
      </c>
      <c r="Y18" s="37">
        <f t="shared" si="15"/>
        <v>11254500</v>
      </c>
    </row>
    <row r="19" spans="1:32" ht="26.1" customHeight="1" x14ac:dyDescent="0.25">
      <c r="A19" s="1"/>
      <c r="B19" s="5"/>
      <c r="C19" s="8"/>
      <c r="D19" s="8"/>
      <c r="E19" s="8"/>
      <c r="F19" s="8"/>
      <c r="G19" s="8"/>
      <c r="H19" s="8"/>
      <c r="I19" s="8"/>
      <c r="J19" s="8"/>
      <c r="K19" s="8"/>
      <c r="L19" s="73">
        <f>L18+M18+N18</f>
        <v>2096</v>
      </c>
      <c r="M19" s="74"/>
      <c r="N19" s="74"/>
      <c r="W19" s="76">
        <f ca="1">NOW()</f>
        <v>45420.011940046294</v>
      </c>
      <c r="X19" s="76"/>
    </row>
    <row r="20" spans="1:32" ht="26.1" hidden="1" customHeight="1" x14ac:dyDescent="0.25">
      <c r="A20" s="1"/>
      <c r="B20" s="5"/>
      <c r="C20" s="8"/>
      <c r="D20" s="8"/>
      <c r="E20" s="8"/>
      <c r="F20" s="8"/>
      <c r="G20" s="8"/>
      <c r="H20" s="8"/>
      <c r="I20" s="8"/>
      <c r="J20" s="8"/>
      <c r="K20" s="8"/>
    </row>
    <row r="21" spans="1:32" ht="26.1" hidden="1" customHeight="1" x14ac:dyDescent="0.25">
      <c r="A21" s="1"/>
      <c r="B21" s="9"/>
      <c r="C21" s="9"/>
      <c r="D21" s="9"/>
      <c r="E21" s="10"/>
      <c r="F21" s="9"/>
      <c r="G21" s="9"/>
      <c r="H21" s="6"/>
      <c r="I21" s="7"/>
      <c r="J21" s="7"/>
      <c r="K21" s="5"/>
      <c r="L21" s="17">
        <f>SUM(L18:N18)</f>
        <v>2096</v>
      </c>
      <c r="M21" s="16"/>
    </row>
    <row r="22" spans="1:32" ht="26.1" hidden="1" customHeight="1" x14ac:dyDescent="0.25">
      <c r="A22" s="1"/>
      <c r="B22" s="10"/>
      <c r="C22" s="10"/>
      <c r="D22" s="10"/>
      <c r="E22" s="10"/>
      <c r="F22" s="10"/>
      <c r="G22" s="10"/>
      <c r="H22" s="6"/>
      <c r="I22" s="6"/>
      <c r="J22" s="6"/>
      <c r="K22" s="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32" ht="26.1" hidden="1" customHeight="1" x14ac:dyDescent="0.25">
      <c r="A23" s="1"/>
      <c r="B23" s="1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32" ht="26.1" customHeight="1" x14ac:dyDescent="0.25">
      <c r="A24" s="1"/>
      <c r="B24" s="46"/>
      <c r="C24" s="46" t="s">
        <v>33</v>
      </c>
      <c r="D24" s="46"/>
      <c r="E24" s="77">
        <f>IF(L19&gt;0,data!F3/L19)</f>
        <v>190.83969465648855</v>
      </c>
      <c r="F24" s="77"/>
      <c r="G24" s="10"/>
      <c r="H24" s="10"/>
      <c r="I24" s="10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6"/>
      <c r="U24" s="6"/>
      <c r="V24" s="6"/>
      <c r="W24" s="6"/>
      <c r="X24" s="6"/>
      <c r="Y24" s="6"/>
    </row>
    <row r="25" spans="1:32" ht="26.1" hidden="1" customHeight="1" x14ac:dyDescent="0.25">
      <c r="A25" s="1"/>
      <c r="B25" s="45"/>
      <c r="C25" s="45"/>
      <c r="D25" s="45"/>
      <c r="E25" s="7"/>
      <c r="F25" s="7"/>
      <c r="G25" s="10"/>
      <c r="H25" s="10"/>
      <c r="I25" s="10"/>
      <c r="J25" s="10"/>
      <c r="K25" s="18"/>
      <c r="L25" s="18"/>
      <c r="M25" s="18"/>
      <c r="N25" s="18"/>
      <c r="O25" s="1"/>
      <c r="P25" s="1"/>
      <c r="Q25" s="1"/>
      <c r="R25" s="1"/>
      <c r="S25" s="1"/>
      <c r="T25" s="6"/>
      <c r="U25" s="6"/>
      <c r="V25" s="6"/>
      <c r="W25" s="6"/>
      <c r="X25" s="6"/>
      <c r="Y25" s="6"/>
    </row>
    <row r="26" spans="1:32" ht="26.1" hidden="1" customHeight="1" x14ac:dyDescent="0.25">
      <c r="A26" s="1"/>
      <c r="B26" s="7"/>
      <c r="C26" s="7"/>
      <c r="D26" s="7"/>
      <c r="E26" s="7"/>
      <c r="F26" s="7"/>
      <c r="G26" s="10"/>
      <c r="H26" s="10"/>
      <c r="I26" s="10"/>
      <c r="J26" s="10"/>
      <c r="K26" s="1"/>
      <c r="L26" s="1"/>
      <c r="M26" s="1"/>
      <c r="N26" s="18"/>
      <c r="O26" s="1"/>
      <c r="P26" s="1"/>
      <c r="Q26" s="1"/>
      <c r="R26" s="1"/>
      <c r="S26" s="1"/>
      <c r="T26" s="6"/>
      <c r="U26" s="6"/>
      <c r="V26" s="6"/>
      <c r="W26" s="6"/>
      <c r="X26" s="6"/>
      <c r="Y26" s="6"/>
    </row>
    <row r="27" spans="1:32" ht="26.1" customHeight="1" x14ac:dyDescent="0.25">
      <c r="A27" s="1"/>
      <c r="B27" s="72" t="s">
        <v>48</v>
      </c>
      <c r="C27" s="72"/>
      <c r="D27" s="72"/>
      <c r="E27" s="72"/>
      <c r="F27" s="58">
        <v>3</v>
      </c>
      <c r="G27" s="10"/>
      <c r="H27" s="10"/>
      <c r="I27" s="10"/>
      <c r="J27" s="10"/>
      <c r="K27" s="1"/>
      <c r="L27" s="1"/>
      <c r="M27" s="1"/>
      <c r="N27" s="18"/>
      <c r="O27" s="1"/>
      <c r="P27" s="1"/>
      <c r="Q27" s="1"/>
      <c r="R27" s="1"/>
      <c r="S27" s="1"/>
      <c r="T27" s="6"/>
      <c r="U27" s="6"/>
      <c r="V27" s="6"/>
      <c r="W27" s="6"/>
      <c r="X27" s="6"/>
      <c r="Y27" s="6"/>
    </row>
    <row r="28" spans="1:32" ht="26.1" customHeight="1" x14ac:dyDescent="0.25">
      <c r="A28" s="1"/>
      <c r="B28" s="72" t="s">
        <v>34</v>
      </c>
      <c r="C28" s="72"/>
      <c r="D28" s="72"/>
      <c r="E28" s="72"/>
      <c r="F28" s="39">
        <f>31*24*F27</f>
        <v>2232</v>
      </c>
      <c r="G28" s="14"/>
      <c r="H28" s="39"/>
      <c r="I28" s="14"/>
      <c r="J28" s="14"/>
      <c r="K28" s="1"/>
      <c r="L28" s="1"/>
      <c r="M28" s="1"/>
      <c r="N28" s="18"/>
      <c r="O28" s="1"/>
      <c r="P28" s="1"/>
      <c r="Q28" s="1"/>
      <c r="R28" s="1"/>
      <c r="S28" s="1"/>
      <c r="T28" s="6"/>
      <c r="U28" s="6"/>
      <c r="V28" s="6"/>
      <c r="W28" s="6"/>
      <c r="X28" s="6"/>
      <c r="Y28" s="6"/>
    </row>
    <row r="29" spans="1:32" ht="26.1" customHeight="1" x14ac:dyDescent="0.25">
      <c r="A29" s="1"/>
      <c r="B29" s="72" t="s">
        <v>38</v>
      </c>
      <c r="C29" s="72"/>
      <c r="D29" s="72"/>
      <c r="E29" s="72"/>
      <c r="F29" s="39">
        <v>0</v>
      </c>
      <c r="G29" s="14"/>
      <c r="H29" s="14"/>
      <c r="I29" s="14"/>
      <c r="J29" s="14"/>
      <c r="K29" s="1"/>
      <c r="L29" s="55"/>
      <c r="M29" s="1"/>
      <c r="N29" s="18"/>
      <c r="O29" s="1"/>
      <c r="P29" s="54"/>
      <c r="Q29" s="54"/>
      <c r="R29" s="1"/>
      <c r="S29" s="1"/>
      <c r="T29" s="6"/>
      <c r="U29" s="6"/>
      <c r="V29" s="6"/>
      <c r="W29" s="6"/>
      <c r="X29" s="6"/>
      <c r="Y29" s="6"/>
    </row>
    <row r="30" spans="1:32" ht="26.1" customHeight="1" x14ac:dyDescent="0.25">
      <c r="A30" s="1"/>
      <c r="B30" s="72" t="s">
        <v>39</v>
      </c>
      <c r="C30" s="72"/>
      <c r="D30" s="72"/>
      <c r="E30" s="72"/>
      <c r="F30" s="38">
        <f>F28-F29</f>
        <v>2232</v>
      </c>
      <c r="G30" s="15"/>
      <c r="H30" s="15"/>
      <c r="I30" s="15"/>
      <c r="J30" s="15"/>
      <c r="K30" s="1"/>
      <c r="L30" s="1"/>
      <c r="M30" s="1"/>
      <c r="N30" s="18"/>
      <c r="O30" s="1"/>
      <c r="P30" s="1"/>
      <c r="Q30" s="1"/>
      <c r="R30" s="1"/>
      <c r="S30" s="1"/>
      <c r="T30" s="6"/>
      <c r="U30" s="6"/>
      <c r="V30" s="6"/>
      <c r="W30" s="6"/>
      <c r="X30" s="6"/>
      <c r="Y30" s="6"/>
    </row>
    <row r="31" spans="1:32" ht="26.1" customHeight="1" x14ac:dyDescent="0.25">
      <c r="A31" s="1"/>
      <c r="B31" s="71" t="s">
        <v>40</v>
      </c>
      <c r="C31" s="71"/>
      <c r="D31" s="71"/>
      <c r="E31" s="71"/>
      <c r="F31" s="40">
        <f>P18</f>
        <v>2372</v>
      </c>
      <c r="G31" s="15"/>
      <c r="H31" s="15"/>
      <c r="I31" s="15"/>
      <c r="J31" s="15"/>
      <c r="K31" s="1"/>
      <c r="L31" s="1"/>
      <c r="M31" s="1"/>
      <c r="N31" s="18"/>
      <c r="O31" s="1"/>
      <c r="P31" s="1"/>
      <c r="Q31" s="1"/>
      <c r="R31" s="1"/>
      <c r="S31" s="1"/>
      <c r="T31" s="11"/>
      <c r="U31" s="11"/>
      <c r="V31" s="11"/>
      <c r="W31" s="11"/>
      <c r="X31" s="11"/>
      <c r="Y31" s="11"/>
    </row>
    <row r="32" spans="1:32" ht="26.1" customHeight="1" x14ac:dyDescent="0.25">
      <c r="A32" s="1"/>
      <c r="B32" s="71" t="s">
        <v>41</v>
      </c>
      <c r="C32" s="71"/>
      <c r="D32" s="71"/>
      <c r="E32" s="71"/>
      <c r="F32" s="59">
        <f>-(F30-F31)</f>
        <v>140</v>
      </c>
      <c r="G32" s="14"/>
      <c r="H32" s="14"/>
      <c r="I32" s="14"/>
      <c r="J32" s="15"/>
      <c r="K32" s="15"/>
      <c r="L32" s="15"/>
      <c r="M32" s="13"/>
      <c r="N32" s="7"/>
      <c r="O32" s="7"/>
      <c r="P32" s="11"/>
      <c r="Q32" s="5"/>
      <c r="R32" s="11"/>
      <c r="S32" s="11"/>
      <c r="T32" s="11"/>
      <c r="U32" s="5"/>
      <c r="V32" s="5"/>
      <c r="W32" s="5"/>
      <c r="X32" s="5"/>
      <c r="Y32" s="7"/>
    </row>
    <row r="33" ht="26.1" customHeight="1" x14ac:dyDescent="0.25"/>
    <row r="34" ht="26.1" customHeight="1" x14ac:dyDescent="0.25"/>
    <row r="35" ht="26.1" customHeight="1" x14ac:dyDescent="0.25"/>
  </sheetData>
  <mergeCells count="10">
    <mergeCell ref="B29:E29"/>
    <mergeCell ref="B30:E30"/>
    <mergeCell ref="B31:E31"/>
    <mergeCell ref="B32:E32"/>
    <mergeCell ref="B3:D3"/>
    <mergeCell ref="L19:N19"/>
    <mergeCell ref="W19:X19"/>
    <mergeCell ref="E24:F24"/>
    <mergeCell ref="B27:E27"/>
    <mergeCell ref="B28:E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35"/>
  <sheetViews>
    <sheetView topLeftCell="A3" zoomScale="85" zoomScaleNormal="85" workbookViewId="0">
      <selection activeCell="G17" sqref="A1:XFD1048576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2.85546875" bestFit="1" customWidth="1"/>
    <col min="9" max="9" width="11.140625" bestFit="1" customWidth="1"/>
    <col min="16" max="16" width="13" bestFit="1" customWidth="1"/>
    <col min="17" max="17" width="16.140625" bestFit="1" customWidth="1"/>
    <col min="18" max="18" width="13" bestFit="1" customWidth="1"/>
    <col min="19" max="19" width="14.42578125" bestFit="1" customWidth="1"/>
    <col min="20" max="21" width="13.28515625" bestFit="1" customWidth="1"/>
    <col min="22" max="22" width="13.7109375" customWidth="1"/>
    <col min="23" max="23" width="13.28515625" bestFit="1" customWidth="1"/>
    <col min="24" max="24" width="12.85546875" bestFit="1" customWidth="1"/>
    <col min="25" max="25" width="15.42578125" bestFit="1" customWidth="1"/>
  </cols>
  <sheetData>
    <row r="1" spans="1:37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7" ht="26.25" x14ac:dyDescent="0.4">
      <c r="A2" s="19"/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37" ht="26.25" x14ac:dyDescent="0.4">
      <c r="A3" s="19"/>
      <c r="B3" s="75">
        <v>45017</v>
      </c>
      <c r="C3" s="75"/>
      <c r="D3" s="75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7" ht="45" x14ac:dyDescent="0.25">
      <c r="A4" s="1"/>
      <c r="B4" s="24" t="s">
        <v>1</v>
      </c>
      <c r="C4" s="24" t="s">
        <v>2</v>
      </c>
      <c r="D4" s="25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 t="s">
        <v>14</v>
      </c>
      <c r="P4" s="24" t="s">
        <v>15</v>
      </c>
      <c r="Q4" s="24" t="s">
        <v>16</v>
      </c>
      <c r="R4" s="24" t="s">
        <v>4</v>
      </c>
      <c r="S4" s="24" t="s">
        <v>5</v>
      </c>
      <c r="T4" s="24" t="s">
        <v>6</v>
      </c>
      <c r="U4" s="24" t="s">
        <v>17</v>
      </c>
      <c r="V4" s="24" t="s">
        <v>18</v>
      </c>
      <c r="W4" s="24" t="s">
        <v>19</v>
      </c>
      <c r="X4" s="24" t="s">
        <v>20</v>
      </c>
      <c r="Y4" s="24" t="s">
        <v>21</v>
      </c>
      <c r="AD4" s="29" t="s">
        <v>21</v>
      </c>
      <c r="AE4" s="30" t="s">
        <v>36</v>
      </c>
      <c r="AF4" s="30" t="s">
        <v>37</v>
      </c>
      <c r="AG4" s="31" t="s">
        <v>21</v>
      </c>
    </row>
    <row r="5" spans="1:37" ht="26.1" customHeight="1" x14ac:dyDescent="0.25">
      <c r="A5" s="1"/>
      <c r="B5" s="2">
        <v>1</v>
      </c>
      <c r="C5" s="4" t="s">
        <v>59</v>
      </c>
      <c r="D5" s="4" t="s">
        <v>25</v>
      </c>
      <c r="E5" s="2"/>
      <c r="F5" s="32"/>
      <c r="G5" s="2"/>
      <c r="H5" s="2"/>
      <c r="I5" s="3" t="s">
        <v>50</v>
      </c>
      <c r="J5" s="2"/>
      <c r="K5" s="2"/>
      <c r="L5" s="26">
        <v>0</v>
      </c>
      <c r="M5" s="26">
        <v>0</v>
      </c>
      <c r="N5" s="26">
        <v>128</v>
      </c>
      <c r="O5" s="26"/>
      <c r="P5" s="47">
        <f t="shared" ref="P5:P17" si="0">SUM(L5:O5)</f>
        <v>128</v>
      </c>
      <c r="Q5" s="47">
        <f>((data!$A$3/8)*L5)+((data!$B$3/8)*(M5+N5+O5))+(P5*$E$24)</f>
        <v>504758.22050290136</v>
      </c>
      <c r="R5" s="47">
        <f t="shared" ref="R5:R15" si="1">IF(D5="Percobaan",0,IF(AND(E5="",G5&gt;0,H5="ok"),100000,IF(AND(E5="",G5&gt;0,H5=""),50000,IF(AND(E5=""),100000,0))))</f>
        <v>0</v>
      </c>
      <c r="S5" s="47">
        <f t="shared" ref="S5:S16" si="2">((P5/8)*1000)</f>
        <v>16000</v>
      </c>
      <c r="T5" s="47">
        <f t="shared" ref="T5:T17" si="3">IF(AND(G5&gt;0,H5=""),50000,IF(AND(G5&gt;0,H5="ok"),G5*50000,0))</f>
        <v>0</v>
      </c>
      <c r="U5" s="47">
        <f t="shared" ref="U5:U17" si="4">IF(OR(D5="Percobaan",D5=""),0,IF(I5="+",P5/8*3000,IF(I5="-",0,P5/8*2000)))</f>
        <v>0</v>
      </c>
      <c r="V5" s="47">
        <f t="shared" ref="V5:V17" si="5">J5*-12500</f>
        <v>0</v>
      </c>
      <c r="W5" s="47">
        <f t="shared" ref="W5:W7" si="6">IF(K5="ok",50000+AA5,0+AA5)</f>
        <v>0</v>
      </c>
      <c r="X5" s="47">
        <f t="shared" ref="X5:X8" si="7">AC5</f>
        <v>0</v>
      </c>
      <c r="Y5" s="47">
        <f t="shared" ref="Y5:Y16" si="8">CEILING(SUM(Q5:X5),500)</f>
        <v>521000</v>
      </c>
      <c r="AD5">
        <f>P5/8</f>
        <v>16</v>
      </c>
      <c r="AE5">
        <f>O5/8</f>
        <v>0</v>
      </c>
      <c r="AF5">
        <f>AD5-AE5</f>
        <v>16</v>
      </c>
    </row>
    <row r="6" spans="1:37" ht="26.1" customHeight="1" x14ac:dyDescent="0.25">
      <c r="A6" s="1"/>
      <c r="B6" s="41">
        <v>2</v>
      </c>
      <c r="C6" s="42" t="s">
        <v>49</v>
      </c>
      <c r="D6" s="43" t="s">
        <v>25</v>
      </c>
      <c r="E6" s="44" t="s">
        <v>51</v>
      </c>
      <c r="F6" s="43"/>
      <c r="G6" s="44"/>
      <c r="H6" s="44"/>
      <c r="I6" s="44" t="s">
        <v>52</v>
      </c>
      <c r="J6" s="41"/>
      <c r="K6" s="44" t="s">
        <v>60</v>
      </c>
      <c r="L6" s="48">
        <v>145</v>
      </c>
      <c r="M6" s="48">
        <v>48</v>
      </c>
      <c r="N6" s="48">
        <v>27</v>
      </c>
      <c r="O6" s="49"/>
      <c r="P6" s="50">
        <f t="shared" si="0"/>
        <v>220</v>
      </c>
      <c r="Q6" s="47">
        <f>((data!$A$3/8)*L6)+((data!$B$3/8)*(M6+N6+O6))+(P6*$E$24)</f>
        <v>885678.19148936169</v>
      </c>
      <c r="R6" s="50">
        <v>0</v>
      </c>
      <c r="S6" s="47">
        <f t="shared" si="2"/>
        <v>27500</v>
      </c>
      <c r="T6" s="50">
        <v>0</v>
      </c>
      <c r="U6" s="50">
        <f t="shared" si="4"/>
        <v>0</v>
      </c>
      <c r="V6" s="50">
        <f t="shared" si="5"/>
        <v>0</v>
      </c>
      <c r="W6" s="50" t="s">
        <v>50</v>
      </c>
      <c r="X6" s="50">
        <f t="shared" si="7"/>
        <v>0</v>
      </c>
      <c r="Y6" s="50">
        <f t="shared" si="8"/>
        <v>913500</v>
      </c>
      <c r="AD6">
        <f t="shared" ref="AD6:AD17" si="9">P6/8</f>
        <v>27.5</v>
      </c>
      <c r="AE6">
        <f t="shared" ref="AE6:AE17" si="10">O6/8</f>
        <v>0</v>
      </c>
      <c r="AF6">
        <f t="shared" ref="AF6:AF17" si="11">AD6-AE6</f>
        <v>27.5</v>
      </c>
    </row>
    <row r="7" spans="1:37" ht="26.1" customHeight="1" x14ac:dyDescent="0.25">
      <c r="A7" s="1"/>
      <c r="B7" s="2">
        <v>3</v>
      </c>
      <c r="C7" s="32" t="s">
        <v>56</v>
      </c>
      <c r="D7" s="4" t="s">
        <v>57</v>
      </c>
      <c r="E7" s="3"/>
      <c r="F7" s="4"/>
      <c r="G7" s="3"/>
      <c r="H7" s="3"/>
      <c r="I7" s="3" t="s">
        <v>50</v>
      </c>
      <c r="J7" s="2"/>
      <c r="K7" s="3"/>
      <c r="L7" s="27">
        <v>104</v>
      </c>
      <c r="M7" s="27">
        <v>10</v>
      </c>
      <c r="N7" s="27">
        <v>84</v>
      </c>
      <c r="O7" s="27"/>
      <c r="P7" s="47">
        <f>SUM(L7:O7)</f>
        <v>198</v>
      </c>
      <c r="Q7" s="47">
        <f>((data!$A$3/8)*L7)+((data!$B$3/8)*(M7+N7+O7))+(P7*$E$24)</f>
        <v>793797.8723404255</v>
      </c>
      <c r="R7" s="47">
        <f t="shared" si="1"/>
        <v>0</v>
      </c>
      <c r="S7" s="47">
        <f t="shared" si="2"/>
        <v>24750</v>
      </c>
      <c r="T7" s="47">
        <f t="shared" si="3"/>
        <v>0</v>
      </c>
      <c r="U7" s="47">
        <f t="shared" si="4"/>
        <v>0</v>
      </c>
      <c r="V7" s="47">
        <f t="shared" si="5"/>
        <v>0</v>
      </c>
      <c r="W7" s="47">
        <f t="shared" si="6"/>
        <v>0</v>
      </c>
      <c r="X7" s="47">
        <f t="shared" si="7"/>
        <v>0</v>
      </c>
      <c r="Y7" s="47">
        <f t="shared" si="8"/>
        <v>819000</v>
      </c>
      <c r="AD7">
        <f t="shared" si="9"/>
        <v>24.75</v>
      </c>
      <c r="AE7">
        <f t="shared" si="10"/>
        <v>0</v>
      </c>
      <c r="AF7">
        <f t="shared" si="11"/>
        <v>24.75</v>
      </c>
    </row>
    <row r="8" spans="1:37" ht="26.1" customHeight="1" x14ac:dyDescent="0.25">
      <c r="A8" s="1"/>
      <c r="B8" s="2">
        <v>4</v>
      </c>
      <c r="C8" s="4" t="s">
        <v>53</v>
      </c>
      <c r="D8" s="4" t="s">
        <v>25</v>
      </c>
      <c r="E8" s="2"/>
      <c r="F8" s="4"/>
      <c r="G8" s="3"/>
      <c r="H8" s="3"/>
      <c r="I8" s="3"/>
      <c r="J8" s="2"/>
      <c r="K8" s="3"/>
      <c r="L8" s="27">
        <v>0</v>
      </c>
      <c r="M8" s="27">
        <v>192</v>
      </c>
      <c r="N8" s="27">
        <v>16</v>
      </c>
      <c r="O8" s="27"/>
      <c r="P8" s="47">
        <f t="shared" si="0"/>
        <v>208</v>
      </c>
      <c r="Q8" s="47">
        <f>((data!$A$3/8)*L8)+((data!$B$3/8)*(M8+N8+O8))+(P8*$E$24)</f>
        <v>820232.10831721465</v>
      </c>
      <c r="R8" s="47">
        <f t="shared" si="1"/>
        <v>0</v>
      </c>
      <c r="S8" s="47">
        <f t="shared" si="2"/>
        <v>26000</v>
      </c>
      <c r="T8" s="47">
        <f t="shared" si="3"/>
        <v>0</v>
      </c>
      <c r="U8" s="47">
        <f t="shared" si="4"/>
        <v>0</v>
      </c>
      <c r="V8" s="47">
        <f t="shared" si="5"/>
        <v>0</v>
      </c>
      <c r="W8" s="47">
        <v>0</v>
      </c>
      <c r="X8" s="47">
        <f t="shared" si="7"/>
        <v>0</v>
      </c>
      <c r="Y8" s="47">
        <f t="shared" si="8"/>
        <v>846500</v>
      </c>
      <c r="AD8">
        <f t="shared" si="9"/>
        <v>26</v>
      </c>
      <c r="AE8">
        <f t="shared" si="10"/>
        <v>0</v>
      </c>
      <c r="AF8">
        <f t="shared" si="11"/>
        <v>26</v>
      </c>
    </row>
    <row r="9" spans="1:37" ht="26.1" customHeight="1" x14ac:dyDescent="0.25">
      <c r="A9" s="1"/>
      <c r="B9" s="22">
        <v>5</v>
      </c>
      <c r="C9" s="23" t="s">
        <v>26</v>
      </c>
      <c r="D9" s="23" t="s">
        <v>3</v>
      </c>
      <c r="E9" s="22"/>
      <c r="F9" s="23"/>
      <c r="G9" s="21">
        <v>1</v>
      </c>
      <c r="H9" s="21" t="s">
        <v>23</v>
      </c>
      <c r="I9" s="21" t="s">
        <v>52</v>
      </c>
      <c r="J9" s="22"/>
      <c r="K9" s="21" t="s">
        <v>23</v>
      </c>
      <c r="L9" s="28">
        <v>16</v>
      </c>
      <c r="M9" s="28">
        <v>0</v>
      </c>
      <c r="N9" s="28">
        <v>100</v>
      </c>
      <c r="O9" s="28">
        <v>96</v>
      </c>
      <c r="P9" s="51">
        <f t="shared" si="0"/>
        <v>212</v>
      </c>
      <c r="Q9" s="47">
        <f>((data!$A$3/8)*L9)+((data!$B$3/8)*(M9+N9+O9))+(P9*$E$24)</f>
        <v>838005.80270793033</v>
      </c>
      <c r="R9" s="51">
        <f t="shared" si="1"/>
        <v>100000</v>
      </c>
      <c r="S9" s="47">
        <f t="shared" si="2"/>
        <v>26500</v>
      </c>
      <c r="T9" s="51">
        <f t="shared" si="3"/>
        <v>50000</v>
      </c>
      <c r="U9" s="51">
        <f t="shared" si="4"/>
        <v>79500</v>
      </c>
      <c r="V9" s="51">
        <f t="shared" si="5"/>
        <v>0</v>
      </c>
      <c r="W9" s="51">
        <f t="shared" ref="W9:W15" si="12">IF(K9="ok",50000+AA10,0+AA10)</f>
        <v>50000</v>
      </c>
      <c r="X9" s="51"/>
      <c r="Y9" s="51">
        <f t="shared" si="8"/>
        <v>1144500</v>
      </c>
      <c r="AD9">
        <f t="shared" si="9"/>
        <v>26.5</v>
      </c>
      <c r="AE9">
        <f t="shared" si="10"/>
        <v>12</v>
      </c>
      <c r="AF9">
        <f t="shared" si="11"/>
        <v>14.5</v>
      </c>
      <c r="AH9">
        <v>27</v>
      </c>
      <c r="AI9">
        <v>23</v>
      </c>
      <c r="AJ9">
        <v>4</v>
      </c>
      <c r="AK9">
        <v>1016000</v>
      </c>
    </row>
    <row r="10" spans="1:37" ht="26.1" customHeight="1" x14ac:dyDescent="0.25">
      <c r="A10" s="1"/>
      <c r="B10" s="22">
        <v>6</v>
      </c>
      <c r="C10" s="33" t="s">
        <v>27</v>
      </c>
      <c r="D10" s="23" t="s">
        <v>3</v>
      </c>
      <c r="E10" s="21"/>
      <c r="F10" s="21"/>
      <c r="G10" s="21">
        <v>4</v>
      </c>
      <c r="H10" s="21" t="s">
        <v>23</v>
      </c>
      <c r="I10" s="21" t="s">
        <v>52</v>
      </c>
      <c r="J10" s="22"/>
      <c r="K10" s="21" t="s">
        <v>23</v>
      </c>
      <c r="L10" s="28">
        <v>0</v>
      </c>
      <c r="M10" s="28">
        <v>200</v>
      </c>
      <c r="N10" s="28">
        <v>23</v>
      </c>
      <c r="O10" s="28"/>
      <c r="P10" s="51">
        <f t="shared" si="0"/>
        <v>223</v>
      </c>
      <c r="Q10" s="47">
        <f>((data!$A$3/8)*L10)+((data!$B$3/8)*(M10+N10+O10))+(P10*$E$24)</f>
        <v>879383.46228239848</v>
      </c>
      <c r="R10" s="51">
        <v>50000</v>
      </c>
      <c r="S10" s="47"/>
      <c r="T10" s="51">
        <f t="shared" si="3"/>
        <v>200000</v>
      </c>
      <c r="U10" s="51">
        <f t="shared" si="4"/>
        <v>83625</v>
      </c>
      <c r="V10" s="51">
        <f t="shared" si="5"/>
        <v>0</v>
      </c>
      <c r="W10" s="51">
        <f t="shared" si="12"/>
        <v>50000</v>
      </c>
      <c r="X10" s="51"/>
      <c r="Y10" s="51">
        <f t="shared" si="8"/>
        <v>1263500</v>
      </c>
      <c r="AD10">
        <f t="shared" si="9"/>
        <v>27.875</v>
      </c>
      <c r="AE10">
        <f t="shared" si="10"/>
        <v>0</v>
      </c>
      <c r="AF10">
        <f t="shared" si="11"/>
        <v>27.875</v>
      </c>
      <c r="AH10">
        <v>53.75</v>
      </c>
      <c r="AI10">
        <v>38.25</v>
      </c>
      <c r="AJ10">
        <v>15.5</v>
      </c>
      <c r="AK10">
        <v>1988500</v>
      </c>
    </row>
    <row r="11" spans="1:37" ht="26.1" customHeight="1" x14ac:dyDescent="0.25">
      <c r="A11" s="1"/>
      <c r="B11" s="2">
        <v>7</v>
      </c>
      <c r="C11" s="32" t="s">
        <v>28</v>
      </c>
      <c r="D11" s="4" t="s">
        <v>25</v>
      </c>
      <c r="E11" s="2" t="s">
        <v>51</v>
      </c>
      <c r="F11" s="3"/>
      <c r="G11" s="3">
        <v>1</v>
      </c>
      <c r="H11" s="3"/>
      <c r="I11" s="3" t="s">
        <v>50</v>
      </c>
      <c r="J11" s="2"/>
      <c r="K11" s="3"/>
      <c r="L11" s="27">
        <v>0</v>
      </c>
      <c r="M11" s="27">
        <v>142</v>
      </c>
      <c r="N11" s="27">
        <v>16</v>
      </c>
      <c r="O11" s="27">
        <v>32</v>
      </c>
      <c r="P11" s="47">
        <f t="shared" si="0"/>
        <v>190</v>
      </c>
      <c r="Q11" s="47">
        <f>((data!$A$3/8)*L11)+((data!$B$3/8)*(M11+N11+O11))+(P11*$E$24)</f>
        <v>749250.48355899425</v>
      </c>
      <c r="R11" s="47">
        <f t="shared" si="1"/>
        <v>0</v>
      </c>
      <c r="S11" s="47">
        <f t="shared" si="2"/>
        <v>23750</v>
      </c>
      <c r="T11" s="47">
        <f t="shared" si="3"/>
        <v>50000</v>
      </c>
      <c r="U11" s="47">
        <f t="shared" si="4"/>
        <v>0</v>
      </c>
      <c r="V11" s="47">
        <f t="shared" si="5"/>
        <v>0</v>
      </c>
      <c r="W11" s="47">
        <f t="shared" si="12"/>
        <v>0</v>
      </c>
      <c r="X11" s="47"/>
      <c r="Y11" s="47">
        <f t="shared" si="8"/>
        <v>823500</v>
      </c>
      <c r="AD11">
        <f t="shared" si="9"/>
        <v>23.75</v>
      </c>
      <c r="AE11">
        <f t="shared" si="10"/>
        <v>4</v>
      </c>
      <c r="AF11">
        <f t="shared" si="11"/>
        <v>19.75</v>
      </c>
    </row>
    <row r="12" spans="1:37" ht="26.1" customHeight="1" x14ac:dyDescent="0.25">
      <c r="A12" s="1"/>
      <c r="B12" s="2">
        <v>8</v>
      </c>
      <c r="C12" s="32" t="s">
        <v>29</v>
      </c>
      <c r="D12" s="4" t="s">
        <v>3</v>
      </c>
      <c r="E12" s="2"/>
      <c r="F12" s="4"/>
      <c r="G12" s="3">
        <v>1</v>
      </c>
      <c r="H12" s="3" t="s">
        <v>23</v>
      </c>
      <c r="I12" s="3" t="s">
        <v>50</v>
      </c>
      <c r="J12" s="2"/>
      <c r="K12" s="3"/>
      <c r="L12" s="27">
        <v>20</v>
      </c>
      <c r="M12" s="27">
        <v>8</v>
      </c>
      <c r="N12" s="27">
        <v>115</v>
      </c>
      <c r="O12" s="27">
        <v>16</v>
      </c>
      <c r="P12" s="47">
        <f t="shared" si="0"/>
        <v>159</v>
      </c>
      <c r="Q12" s="47">
        <f>((data!$A$3/8)*L12)+((data!$B$3/8)*(M12+N12+O12))+(P12*$E$24)</f>
        <v>629504.3520309478</v>
      </c>
      <c r="R12" s="47">
        <f t="shared" si="1"/>
        <v>100000</v>
      </c>
      <c r="S12" s="47">
        <f t="shared" si="2"/>
        <v>19875</v>
      </c>
      <c r="T12" s="47">
        <f t="shared" si="3"/>
        <v>50000</v>
      </c>
      <c r="U12" s="47">
        <f t="shared" si="4"/>
        <v>0</v>
      </c>
      <c r="V12" s="47">
        <f t="shared" si="5"/>
        <v>0</v>
      </c>
      <c r="W12" s="47">
        <f t="shared" si="12"/>
        <v>0</v>
      </c>
      <c r="X12" s="47">
        <f t="shared" ref="X12:X17" si="13">AC13</f>
        <v>0</v>
      </c>
      <c r="Y12" s="47">
        <f t="shared" si="8"/>
        <v>799500</v>
      </c>
      <c r="AD12">
        <f t="shared" si="9"/>
        <v>19.875</v>
      </c>
      <c r="AE12">
        <f t="shared" si="10"/>
        <v>2</v>
      </c>
      <c r="AF12">
        <f t="shared" si="11"/>
        <v>17.875</v>
      </c>
    </row>
    <row r="13" spans="1:37" ht="26.1" customHeight="1" x14ac:dyDescent="0.25">
      <c r="A13" s="1"/>
      <c r="B13" s="2">
        <v>9</v>
      </c>
      <c r="C13" s="32" t="s">
        <v>31</v>
      </c>
      <c r="D13" s="4" t="s">
        <v>3</v>
      </c>
      <c r="E13" s="2"/>
      <c r="F13" s="4"/>
      <c r="G13" s="3">
        <v>1</v>
      </c>
      <c r="H13" s="3"/>
      <c r="I13" s="3" t="s">
        <v>52</v>
      </c>
      <c r="J13" s="2"/>
      <c r="K13" s="3" t="s">
        <v>23</v>
      </c>
      <c r="L13" s="27">
        <v>224</v>
      </c>
      <c r="M13" s="27">
        <v>8</v>
      </c>
      <c r="N13" s="27">
        <v>43</v>
      </c>
      <c r="O13" s="27"/>
      <c r="P13" s="47">
        <f t="shared" si="0"/>
        <v>275</v>
      </c>
      <c r="Q13" s="47">
        <f>((data!$A$3/8)*L13)+((data!$B$3/8)*(M13+N13+O13))+(P13*$E$24)</f>
        <v>1112441.4893617022</v>
      </c>
      <c r="R13" s="47">
        <f t="shared" si="1"/>
        <v>50000</v>
      </c>
      <c r="S13" s="47">
        <f t="shared" si="2"/>
        <v>34375</v>
      </c>
      <c r="T13" s="47">
        <f t="shared" si="3"/>
        <v>50000</v>
      </c>
      <c r="U13" s="47">
        <f t="shared" si="4"/>
        <v>103125</v>
      </c>
      <c r="V13" s="47">
        <f t="shared" si="5"/>
        <v>0</v>
      </c>
      <c r="W13" s="47">
        <f>IF(K13="ok",50000+AA14,0+AA14)</f>
        <v>50000</v>
      </c>
      <c r="X13" s="47">
        <f t="shared" si="13"/>
        <v>0</v>
      </c>
      <c r="Y13" s="47">
        <f t="shared" si="8"/>
        <v>1400000</v>
      </c>
      <c r="AD13">
        <f t="shared" si="9"/>
        <v>34.375</v>
      </c>
      <c r="AE13">
        <f t="shared" si="10"/>
        <v>0</v>
      </c>
      <c r="AF13">
        <f t="shared" si="11"/>
        <v>34.375</v>
      </c>
    </row>
    <row r="14" spans="1:37" ht="26.1" customHeight="1" x14ac:dyDescent="0.25">
      <c r="A14" s="1"/>
      <c r="B14" s="2">
        <v>10</v>
      </c>
      <c r="C14" s="32" t="s">
        <v>32</v>
      </c>
      <c r="D14" s="4" t="s">
        <v>3</v>
      </c>
      <c r="E14" s="3" t="s">
        <v>55</v>
      </c>
      <c r="F14" s="4"/>
      <c r="G14" s="3">
        <v>1</v>
      </c>
      <c r="H14" s="3"/>
      <c r="I14" s="3" t="s">
        <v>52</v>
      </c>
      <c r="J14" s="2"/>
      <c r="K14" s="3"/>
      <c r="L14" s="27">
        <v>189</v>
      </c>
      <c r="M14" s="27">
        <v>34</v>
      </c>
      <c r="N14" s="27">
        <v>8</v>
      </c>
      <c r="O14" s="27"/>
      <c r="P14" s="47">
        <f t="shared" si="0"/>
        <v>231</v>
      </c>
      <c r="Q14" s="47">
        <f>((data!$A$3/8)*L14)+((data!$B$3/8)*(M14+N14+O14))+(P14*$E$24)</f>
        <v>934555.85106382985</v>
      </c>
      <c r="R14" s="47">
        <f t="shared" si="1"/>
        <v>0</v>
      </c>
      <c r="S14" s="47">
        <f t="shared" si="2"/>
        <v>28875</v>
      </c>
      <c r="T14" s="47">
        <f t="shared" si="3"/>
        <v>50000</v>
      </c>
      <c r="U14" s="47">
        <f t="shared" si="4"/>
        <v>86625</v>
      </c>
      <c r="V14" s="47">
        <f t="shared" si="5"/>
        <v>0</v>
      </c>
      <c r="W14" s="47">
        <f>IF(K14="ok",50000+AA15,0+AA15)</f>
        <v>0</v>
      </c>
      <c r="X14" s="47">
        <f t="shared" si="13"/>
        <v>0</v>
      </c>
      <c r="Y14" s="47">
        <f t="shared" si="8"/>
        <v>1100500</v>
      </c>
      <c r="AD14">
        <f t="shared" si="9"/>
        <v>28.875</v>
      </c>
      <c r="AE14">
        <f t="shared" si="10"/>
        <v>0</v>
      </c>
      <c r="AF14">
        <f t="shared" si="11"/>
        <v>28.875</v>
      </c>
    </row>
    <row r="15" spans="1:37" ht="26.1" customHeight="1" x14ac:dyDescent="0.25">
      <c r="A15" s="1"/>
      <c r="B15" s="2">
        <v>11</v>
      </c>
      <c r="C15" s="32" t="s">
        <v>35</v>
      </c>
      <c r="D15" s="4" t="s">
        <v>25</v>
      </c>
      <c r="E15" s="2" t="s">
        <v>51</v>
      </c>
      <c r="F15" s="4"/>
      <c r="G15" s="3"/>
      <c r="H15" s="3"/>
      <c r="I15" s="3" t="s">
        <v>50</v>
      </c>
      <c r="J15" s="2"/>
      <c r="K15" s="3"/>
      <c r="L15" s="27">
        <v>0</v>
      </c>
      <c r="M15" s="27">
        <v>62</v>
      </c>
      <c r="N15" s="27">
        <v>106</v>
      </c>
      <c r="O15" s="27"/>
      <c r="P15" s="47">
        <f t="shared" si="0"/>
        <v>168</v>
      </c>
      <c r="Q15" s="47">
        <f>((data!$A$3/8)*L15)+((data!$B$3/8)*(M15+N15+O15))+(P15*$E$24)</f>
        <v>662495.16441005806</v>
      </c>
      <c r="R15" s="47">
        <f t="shared" si="1"/>
        <v>0</v>
      </c>
      <c r="S15" s="47">
        <f t="shared" si="2"/>
        <v>21000</v>
      </c>
      <c r="T15" s="47">
        <f t="shared" si="3"/>
        <v>0</v>
      </c>
      <c r="U15" s="47">
        <f t="shared" si="4"/>
        <v>0</v>
      </c>
      <c r="V15" s="47">
        <f t="shared" si="5"/>
        <v>0</v>
      </c>
      <c r="W15" s="47">
        <f t="shared" si="12"/>
        <v>0</v>
      </c>
      <c r="X15" s="47">
        <f t="shared" si="13"/>
        <v>0</v>
      </c>
      <c r="Y15" s="47">
        <f t="shared" si="8"/>
        <v>683500</v>
      </c>
      <c r="AD15">
        <f t="shared" si="9"/>
        <v>21</v>
      </c>
      <c r="AE15">
        <f t="shared" si="10"/>
        <v>0</v>
      </c>
      <c r="AF15">
        <f t="shared" si="11"/>
        <v>21</v>
      </c>
    </row>
    <row r="16" spans="1:37" ht="26.1" customHeight="1" x14ac:dyDescent="0.25">
      <c r="A16" s="1"/>
      <c r="B16" s="2">
        <v>12</v>
      </c>
      <c r="D16" s="4"/>
      <c r="E16" s="2"/>
      <c r="F16" s="34"/>
      <c r="G16" s="34"/>
      <c r="H16" s="34"/>
      <c r="I16" s="3"/>
      <c r="J16" s="60"/>
      <c r="K16" s="34"/>
      <c r="L16" s="27"/>
      <c r="M16" s="27"/>
      <c r="N16" s="27"/>
      <c r="O16" s="27"/>
      <c r="P16" s="47">
        <f t="shared" si="0"/>
        <v>0</v>
      </c>
      <c r="Q16" s="47">
        <f>((data!$A$3/8)*L16)+((data!$B$3/8)*(M16+N16+O16))+(P16*$E$24)</f>
        <v>0</v>
      </c>
      <c r="R16" s="47"/>
      <c r="S16" s="47">
        <f t="shared" si="2"/>
        <v>0</v>
      </c>
      <c r="T16" s="47">
        <f t="shared" si="3"/>
        <v>0</v>
      </c>
      <c r="U16" s="47">
        <f t="shared" si="4"/>
        <v>0</v>
      </c>
      <c r="V16" s="47">
        <f t="shared" si="5"/>
        <v>0</v>
      </c>
      <c r="W16" s="47">
        <v>0</v>
      </c>
      <c r="X16" s="47">
        <f t="shared" si="13"/>
        <v>0</v>
      </c>
      <c r="Y16" s="47">
        <f t="shared" si="8"/>
        <v>0</v>
      </c>
      <c r="AD16">
        <f t="shared" si="9"/>
        <v>0</v>
      </c>
      <c r="AE16">
        <f t="shared" si="10"/>
        <v>0</v>
      </c>
      <c r="AF16">
        <f t="shared" si="11"/>
        <v>0</v>
      </c>
    </row>
    <row r="17" spans="1:32" ht="26.1" customHeight="1" x14ac:dyDescent="0.25">
      <c r="A17" s="1"/>
      <c r="B17" s="2">
        <v>13</v>
      </c>
      <c r="C17" s="32"/>
      <c r="D17" s="4"/>
      <c r="E17" s="2"/>
      <c r="F17" s="34"/>
      <c r="G17" s="34"/>
      <c r="H17" s="34"/>
      <c r="I17" s="3"/>
      <c r="J17" s="34"/>
      <c r="K17" s="34"/>
      <c r="L17" s="27"/>
      <c r="M17" s="27"/>
      <c r="N17" s="27"/>
      <c r="O17" s="27"/>
      <c r="P17" s="47">
        <f t="shared" si="0"/>
        <v>0</v>
      </c>
      <c r="Q17" s="47">
        <f>((data!$A$3/8)*L17)+((data!$B$3/8)*(M17+N17+O17))+(P17*$E$24)</f>
        <v>0</v>
      </c>
      <c r="R17" s="47"/>
      <c r="S17" s="47">
        <f>((P17/8)*1000)</f>
        <v>0</v>
      </c>
      <c r="T17" s="47">
        <f t="shared" si="3"/>
        <v>0</v>
      </c>
      <c r="U17" s="47">
        <f t="shared" si="4"/>
        <v>0</v>
      </c>
      <c r="V17" s="47">
        <f t="shared" si="5"/>
        <v>0</v>
      </c>
      <c r="W17" s="47"/>
      <c r="X17" s="47">
        <f t="shared" si="13"/>
        <v>0</v>
      </c>
      <c r="Y17" s="47">
        <f t="shared" ref="Y17" si="14">CEILING(SUM(Q17:X17),500)</f>
        <v>0</v>
      </c>
      <c r="AD17">
        <f t="shared" si="9"/>
        <v>0</v>
      </c>
      <c r="AE17">
        <f t="shared" si="10"/>
        <v>0</v>
      </c>
      <c r="AF17">
        <f t="shared" si="11"/>
        <v>0</v>
      </c>
    </row>
    <row r="18" spans="1:32" ht="26.1" customHeight="1" x14ac:dyDescent="0.25">
      <c r="A18" s="1"/>
      <c r="B18" s="24"/>
      <c r="C18" s="35"/>
      <c r="D18" s="35"/>
      <c r="E18" s="24"/>
      <c r="F18" s="35"/>
      <c r="G18" s="25"/>
      <c r="H18" s="25"/>
      <c r="I18" s="25"/>
      <c r="J18" s="24"/>
      <c r="K18" s="25"/>
      <c r="L18" s="36">
        <f>SUM(L5:L17)</f>
        <v>698</v>
      </c>
      <c r="M18" s="36">
        <f t="shared" ref="M18:Y18" si="15">SUM(M5:M17)</f>
        <v>704</v>
      </c>
      <c r="N18" s="36">
        <f t="shared" si="15"/>
        <v>666</v>
      </c>
      <c r="O18" s="36">
        <f t="shared" si="15"/>
        <v>144</v>
      </c>
      <c r="P18" s="37">
        <f>SUM(P5:P17)</f>
        <v>2212</v>
      </c>
      <c r="Q18" s="37">
        <f t="shared" si="15"/>
        <v>8810102.9980657641</v>
      </c>
      <c r="R18" s="37">
        <f t="shared" si="15"/>
        <v>300000</v>
      </c>
      <c r="S18" s="37">
        <f t="shared" si="15"/>
        <v>248625</v>
      </c>
      <c r="T18" s="37">
        <f t="shared" si="15"/>
        <v>450000</v>
      </c>
      <c r="U18" s="37">
        <f t="shared" si="15"/>
        <v>352875</v>
      </c>
      <c r="V18" s="37">
        <f t="shared" si="15"/>
        <v>0</v>
      </c>
      <c r="W18" s="37">
        <f t="shared" si="15"/>
        <v>150000</v>
      </c>
      <c r="X18" s="37">
        <f t="shared" si="15"/>
        <v>0</v>
      </c>
      <c r="Y18" s="37">
        <f t="shared" si="15"/>
        <v>10315000</v>
      </c>
    </row>
    <row r="19" spans="1:32" ht="26.1" customHeight="1" x14ac:dyDescent="0.25">
      <c r="A19" s="1"/>
      <c r="B19" s="5"/>
      <c r="C19" s="8"/>
      <c r="D19" s="8"/>
      <c r="E19" s="8"/>
      <c r="F19" s="8"/>
      <c r="G19" s="8"/>
      <c r="H19" s="8"/>
      <c r="I19" s="8"/>
      <c r="J19" s="8"/>
      <c r="K19" s="8"/>
      <c r="L19" s="73">
        <f>L18+M18+N18</f>
        <v>2068</v>
      </c>
      <c r="M19" s="74"/>
      <c r="N19" s="74"/>
      <c r="W19" s="76">
        <f ca="1">NOW()</f>
        <v>45420.011940046294</v>
      </c>
      <c r="X19" s="76"/>
    </row>
    <row r="20" spans="1:32" ht="26.1" hidden="1" customHeight="1" x14ac:dyDescent="0.25">
      <c r="A20" s="1"/>
      <c r="B20" s="5"/>
      <c r="C20" s="8"/>
      <c r="D20" s="8"/>
      <c r="E20" s="8"/>
      <c r="F20" s="8"/>
      <c r="G20" s="8"/>
      <c r="H20" s="8"/>
      <c r="I20" s="8"/>
      <c r="J20" s="8"/>
      <c r="K20" s="8"/>
    </row>
    <row r="21" spans="1:32" ht="26.1" hidden="1" customHeight="1" x14ac:dyDescent="0.25">
      <c r="A21" s="1"/>
      <c r="B21" s="9"/>
      <c r="C21" s="9"/>
      <c r="D21" s="9"/>
      <c r="E21" s="10"/>
      <c r="F21" s="9"/>
      <c r="G21" s="9"/>
      <c r="H21" s="6"/>
      <c r="I21" s="7"/>
      <c r="J21" s="7"/>
      <c r="K21" s="5"/>
      <c r="L21" s="17">
        <f>SUM(L18:N18)</f>
        <v>2068</v>
      </c>
      <c r="M21" s="16"/>
    </row>
    <row r="22" spans="1:32" ht="26.1" hidden="1" customHeight="1" x14ac:dyDescent="0.25">
      <c r="A22" s="1"/>
      <c r="B22" s="10"/>
      <c r="C22" s="10"/>
      <c r="D22" s="10"/>
      <c r="E22" s="10"/>
      <c r="F22" s="10"/>
      <c r="G22" s="10"/>
      <c r="H22" s="6"/>
      <c r="I22" s="6"/>
      <c r="J22" s="6"/>
      <c r="K22" s="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32" ht="26.1" hidden="1" customHeight="1" x14ac:dyDescent="0.25">
      <c r="A23" s="1"/>
      <c r="B23" s="1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32" ht="26.1" customHeight="1" x14ac:dyDescent="0.25">
      <c r="A24" s="1"/>
      <c r="B24" s="46"/>
      <c r="C24" s="46" t="s">
        <v>33</v>
      </c>
      <c r="D24" s="46"/>
      <c r="E24" s="77">
        <f>IF(L19&gt;0,data!F3/L19)</f>
        <v>193.42359767891682</v>
      </c>
      <c r="F24" s="77"/>
      <c r="G24" s="10"/>
      <c r="H24" s="10"/>
      <c r="I24" s="10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6"/>
      <c r="U24" s="6"/>
      <c r="V24" s="6"/>
      <c r="W24" s="6"/>
      <c r="X24" s="6"/>
      <c r="Y24" s="6"/>
    </row>
    <row r="25" spans="1:32" ht="26.1" hidden="1" customHeight="1" x14ac:dyDescent="0.25">
      <c r="A25" s="1"/>
      <c r="B25" s="45"/>
      <c r="C25" s="45"/>
      <c r="D25" s="45"/>
      <c r="E25" s="7"/>
      <c r="F25" s="7"/>
      <c r="G25" s="10"/>
      <c r="H25" s="10"/>
      <c r="I25" s="10"/>
      <c r="J25" s="10"/>
      <c r="K25" s="18"/>
      <c r="L25" s="18"/>
      <c r="M25" s="18"/>
      <c r="N25" s="18"/>
      <c r="O25" s="1"/>
      <c r="P25" s="1"/>
      <c r="Q25" s="1"/>
      <c r="R25" s="1"/>
      <c r="S25" s="1"/>
      <c r="T25" s="6"/>
      <c r="U25" s="6"/>
      <c r="V25" s="6"/>
      <c r="W25" s="6"/>
      <c r="X25" s="6"/>
      <c r="Y25" s="6"/>
    </row>
    <row r="26" spans="1:32" ht="26.1" hidden="1" customHeight="1" x14ac:dyDescent="0.25">
      <c r="A26" s="1"/>
      <c r="B26" s="7"/>
      <c r="C26" s="7"/>
      <c r="D26" s="7"/>
      <c r="E26" s="7"/>
      <c r="F26" s="7"/>
      <c r="G26" s="10"/>
      <c r="H26" s="10"/>
      <c r="I26" s="10"/>
      <c r="J26" s="10"/>
      <c r="K26" s="1"/>
      <c r="L26" s="1"/>
      <c r="M26" s="1"/>
      <c r="N26" s="18"/>
      <c r="O26" s="1"/>
      <c r="P26" s="1"/>
      <c r="Q26" s="1"/>
      <c r="R26" s="1"/>
      <c r="S26" s="1"/>
      <c r="T26" s="6"/>
      <c r="U26" s="6"/>
      <c r="V26" s="6"/>
      <c r="W26" s="6"/>
      <c r="X26" s="6"/>
      <c r="Y26" s="6"/>
    </row>
    <row r="27" spans="1:32" ht="26.1" customHeight="1" x14ac:dyDescent="0.25">
      <c r="A27" s="1"/>
      <c r="B27" s="72" t="s">
        <v>48</v>
      </c>
      <c r="C27" s="72"/>
      <c r="D27" s="72"/>
      <c r="E27" s="72"/>
      <c r="F27" s="58">
        <v>3</v>
      </c>
      <c r="G27" s="10"/>
      <c r="H27" s="10"/>
      <c r="I27" s="10"/>
      <c r="J27" s="10"/>
      <c r="K27" s="1"/>
      <c r="L27" s="1"/>
      <c r="M27" s="1"/>
      <c r="N27" s="18"/>
      <c r="O27" s="1"/>
      <c r="P27" s="1"/>
      <c r="Q27" s="1"/>
      <c r="R27" s="1"/>
      <c r="S27" s="1"/>
      <c r="T27" s="6"/>
      <c r="U27" s="6"/>
      <c r="V27" s="6"/>
      <c r="W27" s="6"/>
      <c r="X27" s="6"/>
      <c r="Y27" s="6"/>
    </row>
    <row r="28" spans="1:32" ht="26.1" customHeight="1" x14ac:dyDescent="0.25">
      <c r="A28" s="1"/>
      <c r="B28" s="72" t="s">
        <v>34</v>
      </c>
      <c r="C28" s="72"/>
      <c r="D28" s="72"/>
      <c r="E28" s="72"/>
      <c r="F28" s="39">
        <f>31*24*F27</f>
        <v>2232</v>
      </c>
      <c r="G28" s="14"/>
      <c r="H28" s="39"/>
      <c r="I28" s="14"/>
      <c r="J28" s="14"/>
      <c r="K28" s="1"/>
      <c r="L28" s="1"/>
      <c r="M28" s="1"/>
      <c r="N28" s="18"/>
      <c r="O28" s="1"/>
      <c r="P28" s="1"/>
      <c r="Q28" s="1"/>
      <c r="R28" s="1"/>
      <c r="S28" s="1"/>
      <c r="T28" s="6"/>
      <c r="U28" s="6"/>
      <c r="V28" s="6"/>
      <c r="W28" s="6"/>
      <c r="X28" s="6"/>
      <c r="Y28" s="6"/>
    </row>
    <row r="29" spans="1:32" ht="26.1" customHeight="1" x14ac:dyDescent="0.25">
      <c r="A29" s="1"/>
      <c r="B29" s="72" t="s">
        <v>38</v>
      </c>
      <c r="C29" s="72"/>
      <c r="D29" s="72"/>
      <c r="E29" s="72"/>
      <c r="F29" s="39">
        <v>0</v>
      </c>
      <c r="G29" s="14"/>
      <c r="H29" s="14"/>
      <c r="I29" s="14"/>
      <c r="J29" s="14"/>
      <c r="K29" s="1"/>
      <c r="L29" s="55"/>
      <c r="M29" s="1"/>
      <c r="N29" s="18"/>
      <c r="O29" s="1"/>
      <c r="P29" s="54"/>
      <c r="Q29" s="54"/>
      <c r="R29" s="1"/>
      <c r="S29" s="1"/>
      <c r="T29" s="6"/>
      <c r="U29" s="6"/>
      <c r="V29" s="6"/>
      <c r="W29" s="6"/>
      <c r="X29" s="6"/>
      <c r="Y29" s="6"/>
    </row>
    <row r="30" spans="1:32" ht="26.1" customHeight="1" x14ac:dyDescent="0.25">
      <c r="A30" s="1"/>
      <c r="B30" s="72" t="s">
        <v>39</v>
      </c>
      <c r="C30" s="72"/>
      <c r="D30" s="72"/>
      <c r="E30" s="72"/>
      <c r="F30" s="38">
        <f>F28-F29</f>
        <v>2232</v>
      </c>
      <c r="G30" s="15"/>
      <c r="H30" s="15"/>
      <c r="I30" s="15"/>
      <c r="J30" s="15"/>
      <c r="K30" s="1"/>
      <c r="L30" s="1"/>
      <c r="M30" s="1"/>
      <c r="N30" s="18"/>
      <c r="O30" s="1"/>
      <c r="P30" s="1"/>
      <c r="Q30" s="1"/>
      <c r="R30" s="1"/>
      <c r="S30" s="1"/>
      <c r="T30" s="6"/>
      <c r="U30" s="6"/>
      <c r="V30" s="6"/>
      <c r="W30" s="6"/>
      <c r="X30" s="6"/>
      <c r="Y30" s="6"/>
    </row>
    <row r="31" spans="1:32" ht="26.1" customHeight="1" x14ac:dyDescent="0.25">
      <c r="A31" s="1"/>
      <c r="B31" s="71" t="s">
        <v>40</v>
      </c>
      <c r="C31" s="71"/>
      <c r="D31" s="71"/>
      <c r="E31" s="71"/>
      <c r="F31" s="40">
        <f>P18</f>
        <v>2212</v>
      </c>
      <c r="G31" s="15"/>
      <c r="H31" s="15"/>
      <c r="I31" s="15"/>
      <c r="J31" s="15"/>
      <c r="K31" s="1"/>
      <c r="L31" s="1"/>
      <c r="M31" s="1"/>
      <c r="N31" s="18"/>
      <c r="O31" s="1"/>
      <c r="P31" s="1"/>
      <c r="Q31" s="1"/>
      <c r="R31" s="1"/>
      <c r="S31" s="1"/>
      <c r="T31" s="11"/>
      <c r="U31" s="11"/>
      <c r="V31" s="11"/>
      <c r="W31" s="11"/>
      <c r="X31" s="11"/>
      <c r="Y31" s="11"/>
    </row>
    <row r="32" spans="1:32" ht="26.1" customHeight="1" x14ac:dyDescent="0.25">
      <c r="A32" s="1"/>
      <c r="B32" s="71" t="s">
        <v>41</v>
      </c>
      <c r="C32" s="71"/>
      <c r="D32" s="71"/>
      <c r="E32" s="71"/>
      <c r="F32" s="59">
        <f>-(F30-F31)</f>
        <v>-20</v>
      </c>
      <c r="G32" s="14"/>
      <c r="H32" s="14"/>
      <c r="I32" s="14"/>
      <c r="J32" s="15"/>
      <c r="K32" s="15"/>
      <c r="L32" s="15"/>
      <c r="M32" s="13"/>
      <c r="N32" s="7"/>
      <c r="O32" s="7"/>
      <c r="P32" s="11"/>
      <c r="Q32" s="5"/>
      <c r="R32" s="11"/>
      <c r="S32" s="11"/>
      <c r="T32" s="11"/>
      <c r="U32" s="5"/>
      <c r="V32" s="5"/>
      <c r="W32" s="5"/>
      <c r="X32" s="5"/>
      <c r="Y32" s="7"/>
    </row>
    <row r="33" ht="26.1" customHeight="1" x14ac:dyDescent="0.25"/>
    <row r="34" ht="26.1" customHeight="1" x14ac:dyDescent="0.25"/>
    <row r="35" ht="26.1" customHeight="1" x14ac:dyDescent="0.25"/>
  </sheetData>
  <mergeCells count="10">
    <mergeCell ref="B3:D3"/>
    <mergeCell ref="L19:N19"/>
    <mergeCell ref="W19:X19"/>
    <mergeCell ref="B32:E32"/>
    <mergeCell ref="E24:F24"/>
    <mergeCell ref="B27:E27"/>
    <mergeCell ref="B28:E28"/>
    <mergeCell ref="B29:E29"/>
    <mergeCell ref="B30:E30"/>
    <mergeCell ref="B31:E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J4"/>
  <sheetViews>
    <sheetView workbookViewId="0">
      <selection activeCell="F3" sqref="F3"/>
    </sheetView>
  </sheetViews>
  <sheetFormatPr defaultRowHeight="15" x14ac:dyDescent="0.25"/>
  <cols>
    <col min="9" max="9" width="18.140625" bestFit="1" customWidth="1"/>
  </cols>
  <sheetData>
    <row r="1" spans="1:10" x14ac:dyDescent="0.25">
      <c r="A1" t="s">
        <v>42</v>
      </c>
    </row>
    <row r="2" spans="1:10" x14ac:dyDescent="0.25">
      <c r="A2" t="s">
        <v>43</v>
      </c>
      <c r="B2" t="s">
        <v>44</v>
      </c>
      <c r="F2" s="53" t="s">
        <v>45</v>
      </c>
      <c r="I2" s="53" t="s">
        <v>46</v>
      </c>
      <c r="J2" s="53" t="s">
        <v>47</v>
      </c>
    </row>
    <row r="3" spans="1:10" x14ac:dyDescent="0.25">
      <c r="A3">
        <v>31000</v>
      </c>
      <c r="B3">
        <v>30000</v>
      </c>
      <c r="F3">
        <v>400000</v>
      </c>
      <c r="I3" s="56">
        <f>Sheet1!B3</f>
        <v>44927</v>
      </c>
    </row>
    <row r="4" spans="1:10" x14ac:dyDescent="0.25">
      <c r="I4" s="57">
        <f>EOMONTH(I3,0)</f>
        <v>44957</v>
      </c>
      <c r="J4"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32"/>
  <sheetViews>
    <sheetView tabSelected="1" topLeftCell="B1" zoomScale="70" zoomScaleNormal="70" workbookViewId="0">
      <selection activeCell="E22" sqref="E22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style="68" customWidth="1"/>
    <col min="6" max="6" width="12.85546875" style="68" bestFit="1" customWidth="1"/>
    <col min="9" max="9" width="11.140625" bestFit="1" customWidth="1"/>
    <col min="16" max="16" width="13" bestFit="1" customWidth="1"/>
    <col min="17" max="17" width="16.140625" bestFit="1" customWidth="1"/>
    <col min="18" max="18" width="13" bestFit="1" customWidth="1"/>
    <col min="19" max="19" width="14.42578125" bestFit="1" customWidth="1"/>
    <col min="20" max="21" width="13.28515625" bestFit="1" customWidth="1"/>
    <col min="22" max="22" width="13.7109375" customWidth="1"/>
    <col min="23" max="23" width="13.28515625" bestFit="1" customWidth="1"/>
    <col min="24" max="24" width="12.85546875" bestFit="1" customWidth="1"/>
    <col min="25" max="25" width="15.42578125" bestFit="1" customWidth="1"/>
  </cols>
  <sheetData>
    <row r="1" spans="1:37" ht="15.75" x14ac:dyDescent="0.25">
      <c r="B1" s="1"/>
      <c r="C1" s="1"/>
      <c r="D1" s="1"/>
      <c r="E1" s="12"/>
      <c r="F1" s="4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7" ht="26.25" x14ac:dyDescent="0.4">
      <c r="A2" s="19"/>
      <c r="B2" s="20" t="s">
        <v>0</v>
      </c>
      <c r="C2" s="20"/>
      <c r="D2" s="20"/>
      <c r="E2" s="69"/>
      <c r="F2" s="62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37" ht="26.25" x14ac:dyDescent="0.4">
      <c r="A3" s="19"/>
      <c r="B3" s="75">
        <v>45386</v>
      </c>
      <c r="C3" s="75"/>
      <c r="D3" s="75"/>
      <c r="E3" s="69"/>
      <c r="F3" s="62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7" ht="45" x14ac:dyDescent="0.25">
      <c r="A4" s="1"/>
      <c r="B4" s="24" t="s">
        <v>1</v>
      </c>
      <c r="C4" s="24" t="s">
        <v>2</v>
      </c>
      <c r="D4" s="25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 t="s">
        <v>14</v>
      </c>
      <c r="P4" s="24" t="s">
        <v>15</v>
      </c>
      <c r="Q4" s="24" t="s">
        <v>16</v>
      </c>
      <c r="R4" s="24" t="s">
        <v>4</v>
      </c>
      <c r="S4" s="24" t="s">
        <v>5</v>
      </c>
      <c r="T4" s="24" t="s">
        <v>6</v>
      </c>
      <c r="U4" s="24" t="s">
        <v>17</v>
      </c>
      <c r="V4" s="24" t="s">
        <v>18</v>
      </c>
      <c r="W4" s="24" t="s">
        <v>19</v>
      </c>
      <c r="X4" s="24" t="s">
        <v>20</v>
      </c>
      <c r="Y4" s="24" t="s">
        <v>21</v>
      </c>
      <c r="AD4" s="29" t="s">
        <v>21</v>
      </c>
      <c r="AE4" s="30" t="s">
        <v>36</v>
      </c>
      <c r="AF4" s="30" t="s">
        <v>37</v>
      </c>
      <c r="AG4" s="31" t="s">
        <v>21</v>
      </c>
    </row>
    <row r="5" spans="1:37" ht="26.1" customHeight="1" x14ac:dyDescent="0.25">
      <c r="A5" s="1"/>
      <c r="B5" s="2">
        <v>1</v>
      </c>
      <c r="C5" s="4" t="s">
        <v>59</v>
      </c>
      <c r="D5" s="4" t="s">
        <v>3</v>
      </c>
      <c r="E5" s="3" t="s">
        <v>51</v>
      </c>
      <c r="F5" s="2"/>
      <c r="G5" s="2"/>
      <c r="H5" s="2"/>
      <c r="I5" s="3" t="s">
        <v>50</v>
      </c>
      <c r="J5" s="2">
        <v>1</v>
      </c>
      <c r="K5" s="2"/>
      <c r="L5" s="26">
        <v>16</v>
      </c>
      <c r="M5" s="26">
        <v>20</v>
      </c>
      <c r="N5" s="26">
        <v>154</v>
      </c>
      <c r="O5" s="26"/>
      <c r="P5" s="47">
        <f t="shared" ref="P5:P17" si="0">SUM(L5:O5)</f>
        <v>190</v>
      </c>
      <c r="Q5" s="47">
        <f>((data!$A$3/8)*L5)+((data!$B$3/8)*(M5+N5+O5))+(P5*$E$24)</f>
        <v>714500</v>
      </c>
      <c r="R5" s="47">
        <f t="shared" ref="R5:R17" si="1">IF(D5="Percobaan",0,IF(AND(E5="",G5&gt;0,H5="ok"),100000,IF(AND(E5="",G5&gt;0,H5=""),50000,IF(AND(E5=""),100000,0))))</f>
        <v>0</v>
      </c>
      <c r="S5" s="47"/>
      <c r="T5" s="47">
        <f t="shared" ref="T5:T17" si="2">IF(AND(G5&gt;0,H5=""),50000,IF(AND(G5&gt;0,H5="ok"),G5*50000,0))</f>
        <v>0</v>
      </c>
      <c r="U5" s="47">
        <f t="shared" ref="U5:U17" si="3">IF(OR(D5="Percobaan",D5=""),0,IF(I5="+",P5/8*3000,IF(I5="-",0,P5/8*2000)))</f>
        <v>0</v>
      </c>
      <c r="V5" s="47">
        <f t="shared" ref="V5:V17" si="4">J5*-12500</f>
        <v>-12500</v>
      </c>
      <c r="W5" s="47">
        <f t="shared" ref="W5:W7" si="5">IF(K5="ok",50000+AA5,0+AA5)</f>
        <v>0</v>
      </c>
      <c r="X5" s="47">
        <f t="shared" ref="X5:X8" si="6">AC5</f>
        <v>0</v>
      </c>
      <c r="Y5" s="47">
        <f t="shared" ref="Y5:Y16" si="7">CEILING(SUM(Q5:X5),500)</f>
        <v>702000</v>
      </c>
      <c r="AD5">
        <f>P5/8</f>
        <v>23.75</v>
      </c>
      <c r="AE5">
        <f>O5/8</f>
        <v>0</v>
      </c>
      <c r="AF5">
        <f>AD5-AE5</f>
        <v>23.75</v>
      </c>
    </row>
    <row r="6" spans="1:37" ht="26.1" customHeight="1" x14ac:dyDescent="0.25">
      <c r="A6" s="1"/>
      <c r="B6" s="41">
        <v>2</v>
      </c>
      <c r="C6" s="42" t="s">
        <v>49</v>
      </c>
      <c r="D6" s="43" t="s">
        <v>3</v>
      </c>
      <c r="E6" s="3" t="s">
        <v>51</v>
      </c>
      <c r="F6" s="44"/>
      <c r="G6" s="44">
        <v>1</v>
      </c>
      <c r="H6" s="44"/>
      <c r="I6" s="44" t="s">
        <v>52</v>
      </c>
      <c r="J6" s="2">
        <v>1</v>
      </c>
      <c r="K6" s="44" t="s">
        <v>23</v>
      </c>
      <c r="L6" s="48">
        <v>1</v>
      </c>
      <c r="M6" s="48">
        <v>180</v>
      </c>
      <c r="N6" s="48">
        <v>50</v>
      </c>
      <c r="O6" s="49"/>
      <c r="P6" s="50">
        <f t="shared" si="0"/>
        <v>231</v>
      </c>
      <c r="Q6" s="47">
        <f>((data!$A$3/8)*L6)+((data!$B$3/8)*(M6+N6+O6))+(P6*$E$24)</f>
        <v>866375</v>
      </c>
      <c r="R6" s="47">
        <f t="shared" si="1"/>
        <v>0</v>
      </c>
      <c r="S6" s="47">
        <f t="shared" ref="S6:S14" si="8">((P6/8)*1000)</f>
        <v>28875</v>
      </c>
      <c r="T6" s="50"/>
      <c r="U6" s="50">
        <f t="shared" si="3"/>
        <v>86625</v>
      </c>
      <c r="V6" s="50">
        <f t="shared" si="4"/>
        <v>-12500</v>
      </c>
      <c r="W6" s="50">
        <v>50000</v>
      </c>
      <c r="X6" s="50">
        <f t="shared" si="6"/>
        <v>0</v>
      </c>
      <c r="Y6" s="50">
        <f t="shared" si="7"/>
        <v>1019500</v>
      </c>
      <c r="AD6">
        <f t="shared" ref="AD6:AD17" si="9">P6/8</f>
        <v>28.875</v>
      </c>
      <c r="AE6">
        <f t="shared" ref="AE6:AE17" si="10">O6/8</f>
        <v>0</v>
      </c>
      <c r="AF6">
        <f t="shared" ref="AF6:AF17" si="11">AD6-AE6</f>
        <v>28.875</v>
      </c>
    </row>
    <row r="7" spans="1:37" ht="26.1" customHeight="1" x14ac:dyDescent="0.25">
      <c r="A7" s="1"/>
      <c r="B7" s="2">
        <v>3</v>
      </c>
      <c r="C7" s="32" t="s">
        <v>56</v>
      </c>
      <c r="D7" s="4" t="s">
        <v>3</v>
      </c>
      <c r="E7" s="3" t="s">
        <v>51</v>
      </c>
      <c r="F7" s="3" t="s">
        <v>58</v>
      </c>
      <c r="G7" s="3">
        <v>1</v>
      </c>
      <c r="H7" s="3"/>
      <c r="I7" s="3" t="s">
        <v>52</v>
      </c>
      <c r="J7" s="2">
        <v>1</v>
      </c>
      <c r="K7" s="3"/>
      <c r="L7" s="27">
        <v>213</v>
      </c>
      <c r="M7" s="27">
        <v>36</v>
      </c>
      <c r="N7" s="27">
        <v>2</v>
      </c>
      <c r="O7" s="27"/>
      <c r="P7" s="47">
        <f>SUM(L7:O7)</f>
        <v>251</v>
      </c>
      <c r="Q7" s="47">
        <f>((data!$A$3/8)*L7)+((data!$B$3/8)*(M7+N7+O7))+(P7*$E$24)</f>
        <v>967875</v>
      </c>
      <c r="R7" s="47">
        <f t="shared" si="1"/>
        <v>0</v>
      </c>
      <c r="S7" s="47"/>
      <c r="T7" s="47">
        <f t="shared" si="2"/>
        <v>50000</v>
      </c>
      <c r="U7" s="47">
        <f t="shared" si="3"/>
        <v>94125</v>
      </c>
      <c r="V7" s="47">
        <f t="shared" si="4"/>
        <v>-12500</v>
      </c>
      <c r="W7" s="47">
        <f t="shared" si="5"/>
        <v>0</v>
      </c>
      <c r="X7" s="47">
        <f t="shared" si="6"/>
        <v>0</v>
      </c>
      <c r="Y7" s="47">
        <f t="shared" si="7"/>
        <v>1099500</v>
      </c>
      <c r="AD7">
        <f t="shared" si="9"/>
        <v>31.375</v>
      </c>
      <c r="AE7">
        <f t="shared" si="10"/>
        <v>0</v>
      </c>
      <c r="AF7">
        <f t="shared" si="11"/>
        <v>31.375</v>
      </c>
    </row>
    <row r="8" spans="1:37" ht="26.1" customHeight="1" x14ac:dyDescent="0.25">
      <c r="A8" s="1"/>
      <c r="B8" s="2">
        <v>4</v>
      </c>
      <c r="C8" s="4"/>
      <c r="D8" s="4"/>
      <c r="E8" s="2"/>
      <c r="F8" s="3"/>
      <c r="G8" s="3"/>
      <c r="H8" s="3"/>
      <c r="I8" s="3"/>
      <c r="J8" s="2"/>
      <c r="K8" s="3"/>
      <c r="L8" s="27"/>
      <c r="M8" s="27"/>
      <c r="N8" s="27"/>
      <c r="O8" s="27"/>
      <c r="P8" s="47"/>
      <c r="Q8" s="47">
        <f>((data!$A$3/8)*L8)+((data!$B$3/8)*(M8+N8+O8))+(P8*$E$24)</f>
        <v>0</v>
      </c>
      <c r="R8" s="47">
        <f t="shared" si="1"/>
        <v>100000</v>
      </c>
      <c r="S8" s="47">
        <f t="shared" si="8"/>
        <v>0</v>
      </c>
      <c r="T8" s="47">
        <f t="shared" si="2"/>
        <v>0</v>
      </c>
      <c r="U8" s="47">
        <f t="shared" si="3"/>
        <v>0</v>
      </c>
      <c r="V8" s="47">
        <f t="shared" si="4"/>
        <v>0</v>
      </c>
      <c r="W8" s="47">
        <v>0</v>
      </c>
      <c r="X8" s="47">
        <f t="shared" si="6"/>
        <v>0</v>
      </c>
      <c r="Y8" s="47">
        <f t="shared" si="7"/>
        <v>100000</v>
      </c>
      <c r="AD8">
        <f t="shared" si="9"/>
        <v>0</v>
      </c>
      <c r="AE8">
        <f t="shared" si="10"/>
        <v>0</v>
      </c>
      <c r="AF8">
        <f t="shared" si="11"/>
        <v>0</v>
      </c>
    </row>
    <row r="9" spans="1:37" ht="26.1" customHeight="1" x14ac:dyDescent="0.25">
      <c r="A9" s="1"/>
      <c r="B9" s="22">
        <v>5</v>
      </c>
      <c r="C9" s="23" t="s">
        <v>26</v>
      </c>
      <c r="D9" s="23" t="s">
        <v>3</v>
      </c>
      <c r="E9" s="22"/>
      <c r="F9" s="21"/>
      <c r="G9" s="21">
        <v>2</v>
      </c>
      <c r="H9" s="21" t="s">
        <v>23</v>
      </c>
      <c r="I9" s="21" t="s">
        <v>52</v>
      </c>
      <c r="J9" s="2">
        <v>1</v>
      </c>
      <c r="K9" s="21" t="s">
        <v>23</v>
      </c>
      <c r="L9" s="28">
        <v>42</v>
      </c>
      <c r="M9" s="28">
        <v>12</v>
      </c>
      <c r="N9" s="28">
        <v>163</v>
      </c>
      <c r="O9" s="28"/>
      <c r="P9" s="51">
        <f t="shared" si="0"/>
        <v>217</v>
      </c>
      <c r="Q9" s="47">
        <f>((data!$A$3/8)*L9)+((data!$B$3/8)*(M9+N9+O9))+(P9*$E$24)</f>
        <v>819000</v>
      </c>
      <c r="R9" s="47">
        <f t="shared" si="1"/>
        <v>100000</v>
      </c>
      <c r="S9" s="47">
        <f t="shared" si="8"/>
        <v>27125</v>
      </c>
      <c r="T9" s="51">
        <f t="shared" si="2"/>
        <v>100000</v>
      </c>
      <c r="U9" s="51">
        <f t="shared" si="3"/>
        <v>81375</v>
      </c>
      <c r="V9" s="51">
        <f t="shared" si="4"/>
        <v>-12500</v>
      </c>
      <c r="W9" s="51">
        <f t="shared" ref="W9:W12" si="12">IF(K9="ok",50000+AA10,0+AA10)</f>
        <v>50000</v>
      </c>
      <c r="X9" s="51"/>
      <c r="Y9" s="51">
        <f t="shared" si="7"/>
        <v>1165000</v>
      </c>
      <c r="AD9">
        <f t="shared" si="9"/>
        <v>27.125</v>
      </c>
      <c r="AE9">
        <f t="shared" si="10"/>
        <v>0</v>
      </c>
      <c r="AF9">
        <f t="shared" si="11"/>
        <v>27.125</v>
      </c>
      <c r="AH9">
        <v>27</v>
      </c>
      <c r="AI9">
        <v>23</v>
      </c>
      <c r="AJ9">
        <v>4</v>
      </c>
      <c r="AK9">
        <v>1016000</v>
      </c>
    </row>
    <row r="10" spans="1:37" ht="26.1" customHeight="1" x14ac:dyDescent="0.25">
      <c r="A10" s="1"/>
      <c r="B10" s="22">
        <v>6</v>
      </c>
      <c r="C10" s="33" t="s">
        <v>27</v>
      </c>
      <c r="D10" s="23" t="s">
        <v>3</v>
      </c>
      <c r="E10" s="3"/>
      <c r="F10" s="21" t="s">
        <v>58</v>
      </c>
      <c r="G10" s="21">
        <v>4</v>
      </c>
      <c r="H10" s="21" t="s">
        <v>23</v>
      </c>
      <c r="I10" s="21" t="s">
        <v>50</v>
      </c>
      <c r="J10" s="2">
        <v>1</v>
      </c>
      <c r="K10" s="21" t="s">
        <v>23</v>
      </c>
      <c r="L10" s="28">
        <v>0</v>
      </c>
      <c r="M10" s="28">
        <v>108</v>
      </c>
      <c r="N10" s="28">
        <v>35</v>
      </c>
      <c r="O10" s="28"/>
      <c r="P10" s="51">
        <f t="shared" si="0"/>
        <v>143</v>
      </c>
      <c r="Q10" s="47">
        <f>((data!$A$3/8)*L10)+((data!$B$3/8)*(M10+N10+O10))+(P10*$E$24)</f>
        <v>536250</v>
      </c>
      <c r="R10" s="47">
        <v>50000</v>
      </c>
      <c r="S10" s="47"/>
      <c r="T10" s="51">
        <f t="shared" si="2"/>
        <v>200000</v>
      </c>
      <c r="U10" s="51">
        <f t="shared" si="3"/>
        <v>0</v>
      </c>
      <c r="V10" s="51">
        <f t="shared" si="4"/>
        <v>-12500</v>
      </c>
      <c r="W10" s="51">
        <f t="shared" si="12"/>
        <v>50000</v>
      </c>
      <c r="X10" s="51"/>
      <c r="Y10" s="51">
        <f t="shared" si="7"/>
        <v>824000</v>
      </c>
      <c r="AD10">
        <f t="shared" si="9"/>
        <v>17.875</v>
      </c>
      <c r="AE10">
        <f t="shared" si="10"/>
        <v>0</v>
      </c>
      <c r="AF10">
        <f t="shared" si="11"/>
        <v>17.875</v>
      </c>
      <c r="AH10">
        <v>53.75</v>
      </c>
      <c r="AI10">
        <v>38.25</v>
      </c>
      <c r="AJ10">
        <v>15.5</v>
      </c>
      <c r="AK10">
        <v>1988500</v>
      </c>
    </row>
    <row r="11" spans="1:37" ht="26.1" customHeight="1" x14ac:dyDescent="0.25">
      <c r="A11" s="1"/>
      <c r="B11" s="2">
        <v>7</v>
      </c>
      <c r="C11" s="32" t="s">
        <v>29</v>
      </c>
      <c r="D11" s="4" t="s">
        <v>3</v>
      </c>
      <c r="E11" s="2"/>
      <c r="F11" s="3"/>
      <c r="G11" s="3">
        <v>2</v>
      </c>
      <c r="H11" s="3" t="s">
        <v>23</v>
      </c>
      <c r="I11" s="3" t="s">
        <v>50</v>
      </c>
      <c r="J11" s="2">
        <v>1</v>
      </c>
      <c r="K11" s="3"/>
      <c r="L11" s="27">
        <v>176</v>
      </c>
      <c r="M11" s="27">
        <v>5</v>
      </c>
      <c r="N11" s="27">
        <v>0</v>
      </c>
      <c r="O11" s="27"/>
      <c r="P11" s="47">
        <f t="shared" si="0"/>
        <v>181</v>
      </c>
      <c r="Q11" s="47">
        <f>((data!$A$3/8)*L11)+((data!$B$3/8)*(M11+N11+O11))+(P11*$E$24)</f>
        <v>700750</v>
      </c>
      <c r="R11" s="47">
        <f t="shared" si="1"/>
        <v>100000</v>
      </c>
      <c r="S11" s="47">
        <f t="shared" si="8"/>
        <v>22625</v>
      </c>
      <c r="T11" s="47">
        <f t="shared" si="2"/>
        <v>100000</v>
      </c>
      <c r="U11" s="47">
        <f t="shared" si="3"/>
        <v>0</v>
      </c>
      <c r="V11" s="47">
        <f t="shared" si="4"/>
        <v>-12500</v>
      </c>
      <c r="W11" s="47">
        <f t="shared" si="12"/>
        <v>0</v>
      </c>
      <c r="X11" s="47"/>
      <c r="Y11" s="47">
        <f t="shared" si="7"/>
        <v>911000</v>
      </c>
      <c r="AD11">
        <f t="shared" si="9"/>
        <v>22.625</v>
      </c>
      <c r="AE11">
        <f t="shared" si="10"/>
        <v>0</v>
      </c>
      <c r="AF11">
        <f t="shared" si="11"/>
        <v>22.625</v>
      </c>
    </row>
    <row r="12" spans="1:37" ht="26.1" customHeight="1" x14ac:dyDescent="0.25">
      <c r="A12" s="1"/>
      <c r="B12" s="2">
        <v>8</v>
      </c>
      <c r="C12" s="32" t="s">
        <v>31</v>
      </c>
      <c r="D12" s="4" t="s">
        <v>3</v>
      </c>
      <c r="E12" s="3"/>
      <c r="F12" s="3"/>
      <c r="G12" s="3">
        <v>1</v>
      </c>
      <c r="H12" s="3"/>
      <c r="I12" s="3" t="s">
        <v>52</v>
      </c>
      <c r="J12" s="2">
        <v>1</v>
      </c>
      <c r="K12" s="3" t="s">
        <v>23</v>
      </c>
      <c r="L12" s="27">
        <v>216</v>
      </c>
      <c r="M12" s="27">
        <v>106</v>
      </c>
      <c r="N12" s="27">
        <v>24</v>
      </c>
      <c r="O12" s="27"/>
      <c r="P12" s="47">
        <f t="shared" si="0"/>
        <v>346</v>
      </c>
      <c r="Q12" s="47">
        <f>((data!$A$3/8)*L12)+((data!$B$3/8)*(M12+N12+O12))+(P12*$E$24)</f>
        <v>1324500</v>
      </c>
      <c r="R12" s="47">
        <f t="shared" si="1"/>
        <v>50000</v>
      </c>
      <c r="S12" s="47">
        <f t="shared" si="8"/>
        <v>43250</v>
      </c>
      <c r="T12" s="47">
        <f t="shared" si="2"/>
        <v>50000</v>
      </c>
      <c r="U12" s="47">
        <f t="shared" si="3"/>
        <v>129750</v>
      </c>
      <c r="V12" s="47">
        <f t="shared" si="4"/>
        <v>-12500</v>
      </c>
      <c r="W12" s="47">
        <f t="shared" si="12"/>
        <v>50000</v>
      </c>
      <c r="X12" s="47">
        <f t="shared" ref="X12:X17" si="13">AC13</f>
        <v>0</v>
      </c>
      <c r="Y12" s="47">
        <f t="shared" si="7"/>
        <v>1635000</v>
      </c>
      <c r="AD12">
        <f t="shared" si="9"/>
        <v>43.25</v>
      </c>
      <c r="AE12">
        <f t="shared" si="10"/>
        <v>0</v>
      </c>
      <c r="AF12">
        <f t="shared" si="11"/>
        <v>43.25</v>
      </c>
    </row>
    <row r="13" spans="1:37" ht="26.1" customHeight="1" x14ac:dyDescent="0.25">
      <c r="A13" s="1"/>
      <c r="B13" s="2">
        <v>9</v>
      </c>
      <c r="C13" s="32" t="s">
        <v>61</v>
      </c>
      <c r="D13" s="4" t="s">
        <v>25</v>
      </c>
      <c r="E13" s="2"/>
      <c r="F13" s="3"/>
      <c r="G13" s="3"/>
      <c r="H13" s="3"/>
      <c r="I13" s="3" t="s">
        <v>52</v>
      </c>
      <c r="J13" s="2">
        <v>1</v>
      </c>
      <c r="K13" s="3"/>
      <c r="L13" s="27">
        <v>24</v>
      </c>
      <c r="M13" s="27">
        <v>180</v>
      </c>
      <c r="N13" s="27">
        <v>39</v>
      </c>
      <c r="O13" s="27"/>
      <c r="P13" s="47">
        <f t="shared" si="0"/>
        <v>243</v>
      </c>
      <c r="Q13" s="47">
        <f>((data!$A$3/8)*L13)+((data!$B$3/8)*(M13+N13+O13))+(P13*$E$24)</f>
        <v>914250</v>
      </c>
      <c r="R13" s="47">
        <f t="shared" si="1"/>
        <v>0</v>
      </c>
      <c r="S13" s="47"/>
      <c r="T13" s="47">
        <f t="shared" si="2"/>
        <v>0</v>
      </c>
      <c r="U13" s="47">
        <f t="shared" si="3"/>
        <v>0</v>
      </c>
      <c r="V13" s="47">
        <f t="shared" si="4"/>
        <v>-12500</v>
      </c>
      <c r="W13" s="47">
        <f>IF(K13="ok",50000+AA14,0+AA14)</f>
        <v>0</v>
      </c>
      <c r="X13" s="47">
        <f t="shared" si="13"/>
        <v>0</v>
      </c>
      <c r="Y13" s="47">
        <f t="shared" si="7"/>
        <v>902000</v>
      </c>
      <c r="AD13">
        <f t="shared" si="9"/>
        <v>30.375</v>
      </c>
      <c r="AE13">
        <f t="shared" si="10"/>
        <v>0</v>
      </c>
      <c r="AF13">
        <f t="shared" si="11"/>
        <v>30.375</v>
      </c>
    </row>
    <row r="14" spans="1:37" ht="26.1" customHeight="1" x14ac:dyDescent="0.25">
      <c r="A14" s="1"/>
      <c r="B14" s="2">
        <v>10</v>
      </c>
      <c r="C14" s="32" t="s">
        <v>35</v>
      </c>
      <c r="D14" s="4" t="s">
        <v>25</v>
      </c>
      <c r="E14" s="3" t="s">
        <v>54</v>
      </c>
      <c r="F14" s="3" t="s">
        <v>58</v>
      </c>
      <c r="G14" s="3">
        <v>1</v>
      </c>
      <c r="H14" s="3"/>
      <c r="I14" s="3" t="s">
        <v>50</v>
      </c>
      <c r="J14" s="2">
        <v>1</v>
      </c>
      <c r="K14" s="3"/>
      <c r="L14" s="27">
        <v>8</v>
      </c>
      <c r="M14" s="27">
        <v>65</v>
      </c>
      <c r="N14" s="27">
        <v>91</v>
      </c>
      <c r="O14" s="27"/>
      <c r="P14" s="47">
        <f t="shared" si="0"/>
        <v>164</v>
      </c>
      <c r="Q14" s="47">
        <f>((data!$A$3/8)*L14)+((data!$B$3/8)*(M14+N14+O14))+(P14*$E$24)</f>
        <v>616000</v>
      </c>
      <c r="R14" s="47">
        <f t="shared" si="1"/>
        <v>0</v>
      </c>
      <c r="S14" s="47">
        <f t="shared" si="8"/>
        <v>20500</v>
      </c>
      <c r="T14" s="47">
        <f t="shared" si="2"/>
        <v>50000</v>
      </c>
      <c r="U14" s="47">
        <f t="shared" si="3"/>
        <v>0</v>
      </c>
      <c r="V14" s="47">
        <f t="shared" si="4"/>
        <v>-12500</v>
      </c>
      <c r="W14" s="47">
        <f>IF(K14="ok",50000+AA15,0+AA15)</f>
        <v>0</v>
      </c>
      <c r="X14" s="47">
        <f t="shared" si="13"/>
        <v>0</v>
      </c>
      <c r="Y14" s="47">
        <f t="shared" si="7"/>
        <v>674000</v>
      </c>
      <c r="AD14">
        <f t="shared" si="9"/>
        <v>20.5</v>
      </c>
      <c r="AE14">
        <f t="shared" si="10"/>
        <v>0</v>
      </c>
      <c r="AF14">
        <f t="shared" si="11"/>
        <v>20.5</v>
      </c>
    </row>
    <row r="15" spans="1:37" ht="26.1" customHeight="1" x14ac:dyDescent="0.25">
      <c r="A15" s="1"/>
      <c r="B15" s="2">
        <v>11</v>
      </c>
      <c r="C15" s="61" t="s">
        <v>62</v>
      </c>
      <c r="D15" s="4" t="s">
        <v>25</v>
      </c>
      <c r="E15" s="3" t="s">
        <v>51</v>
      </c>
      <c r="F15" s="3" t="s">
        <v>58</v>
      </c>
      <c r="G15" s="3"/>
      <c r="H15" s="3"/>
      <c r="I15" s="3" t="s">
        <v>50</v>
      </c>
      <c r="J15" s="2">
        <v>1</v>
      </c>
      <c r="K15" s="3"/>
      <c r="L15" s="27">
        <v>24</v>
      </c>
      <c r="M15" s="27">
        <v>8</v>
      </c>
      <c r="N15" s="27">
        <v>162</v>
      </c>
      <c r="O15" s="27"/>
      <c r="P15" s="47">
        <f t="shared" si="0"/>
        <v>194</v>
      </c>
      <c r="Q15" s="47">
        <f>((data!$A$3/8)*L15)+((data!$B$3/8)*(M15+N15+O15))+(P15*$E$24)</f>
        <v>730500</v>
      </c>
      <c r="R15" s="47">
        <f t="shared" si="1"/>
        <v>0</v>
      </c>
      <c r="S15" s="47">
        <f>((P15/8)*1000)</f>
        <v>24250</v>
      </c>
      <c r="T15" s="47">
        <f>IF(AND(G15&gt;0,H15=""),50000,IF(AND(G15&gt;0,H15="ok"),G15*50000,0))</f>
        <v>0</v>
      </c>
      <c r="U15" s="47">
        <f>IF(OR(D15="Percobaan",D15=""),0,IF(I15="+",P15/8*3000,IF(I15="-",0,P15/8*2000)))</f>
        <v>0</v>
      </c>
      <c r="V15" s="47">
        <f>J15*-12500</f>
        <v>-12500</v>
      </c>
      <c r="W15" s="47">
        <f>IF(K15="ok",50000+AA16,0+AA16)</f>
        <v>0</v>
      </c>
      <c r="X15" s="47">
        <f t="shared" si="13"/>
        <v>0</v>
      </c>
      <c r="Y15" s="47">
        <f t="shared" si="7"/>
        <v>742500</v>
      </c>
      <c r="AD15">
        <f>P15/8</f>
        <v>24.25</v>
      </c>
      <c r="AE15">
        <f>O15/8</f>
        <v>0</v>
      </c>
      <c r="AF15">
        <f t="shared" si="11"/>
        <v>24.25</v>
      </c>
    </row>
    <row r="16" spans="1:37" ht="26.1" customHeight="1" x14ac:dyDescent="0.25">
      <c r="A16" s="1"/>
      <c r="B16" s="2">
        <v>12</v>
      </c>
      <c r="C16" s="34"/>
      <c r="D16" s="4"/>
      <c r="E16" s="2"/>
      <c r="F16" s="60"/>
      <c r="G16" s="34"/>
      <c r="H16" s="34"/>
      <c r="I16" s="3"/>
      <c r="J16" s="60"/>
      <c r="K16" s="34"/>
      <c r="L16" s="27"/>
      <c r="M16" s="27"/>
      <c r="N16" s="27"/>
      <c r="O16" s="27"/>
      <c r="P16" s="47">
        <f>SUM(L16:O16)</f>
        <v>0</v>
      </c>
      <c r="Q16" s="47">
        <f>((data!$A$3/8)*L16)+((data!$B$3/8)*(M16+N16+O16))+(P16*$E$24)</f>
        <v>0</v>
      </c>
      <c r="R16" s="47">
        <f t="shared" si="1"/>
        <v>100000</v>
      </c>
      <c r="S16" s="47">
        <f>((P16/8)*1000)</f>
        <v>0</v>
      </c>
      <c r="T16" s="47">
        <f>IF(AND(G16&gt;0,H16=""),50000,IF(AND(G16&gt;0,H16="ok"),G16*50000,0))</f>
        <v>0</v>
      </c>
      <c r="U16" s="47">
        <f>IF(OR(D16="Percobaan",D16=""),0,IF(I16="+",P16/8*3000,IF(I16="-",0,P16/8*2000)))</f>
        <v>0</v>
      </c>
      <c r="V16" s="47">
        <f>J16*-12500</f>
        <v>0</v>
      </c>
      <c r="W16" s="47">
        <v>0</v>
      </c>
      <c r="X16" s="47">
        <f t="shared" si="13"/>
        <v>0</v>
      </c>
      <c r="Y16" s="47">
        <f t="shared" si="7"/>
        <v>100000</v>
      </c>
      <c r="AD16">
        <f>P16/8</f>
        <v>0</v>
      </c>
      <c r="AE16">
        <f>O16/8</f>
        <v>0</v>
      </c>
      <c r="AF16">
        <f t="shared" si="11"/>
        <v>0</v>
      </c>
    </row>
    <row r="17" spans="1:32" ht="15.75" x14ac:dyDescent="0.25">
      <c r="A17" s="1"/>
      <c r="B17" s="2">
        <v>13</v>
      </c>
      <c r="C17" s="32"/>
      <c r="D17" s="4"/>
      <c r="E17" s="2"/>
      <c r="F17" s="60"/>
      <c r="G17" s="34"/>
      <c r="H17" s="34"/>
      <c r="I17" s="3"/>
      <c r="J17" s="34"/>
      <c r="K17" s="34"/>
      <c r="L17" s="27"/>
      <c r="M17" s="27"/>
      <c r="N17" s="27"/>
      <c r="O17" s="27"/>
      <c r="P17" s="47">
        <f t="shared" si="0"/>
        <v>0</v>
      </c>
      <c r="Q17" s="47">
        <f>((data!$A$3/8)*L17)+((data!$B$3/8)*(M17+N17+O17))+(P17*$E$24)</f>
        <v>0</v>
      </c>
      <c r="R17" s="47">
        <f t="shared" si="1"/>
        <v>100000</v>
      </c>
      <c r="S17" s="47">
        <f>((P17/8)*1000)</f>
        <v>0</v>
      </c>
      <c r="T17" s="47">
        <f t="shared" si="2"/>
        <v>0</v>
      </c>
      <c r="U17" s="47">
        <f t="shared" si="3"/>
        <v>0</v>
      </c>
      <c r="V17" s="47">
        <f t="shared" si="4"/>
        <v>0</v>
      </c>
      <c r="W17" s="47"/>
      <c r="X17" s="47">
        <f t="shared" si="13"/>
        <v>0</v>
      </c>
      <c r="Y17" s="47">
        <f t="shared" ref="Y17" si="14">CEILING(SUM(Q17:X17),500)</f>
        <v>100000</v>
      </c>
      <c r="AD17">
        <f t="shared" si="9"/>
        <v>0</v>
      </c>
      <c r="AE17">
        <f t="shared" si="10"/>
        <v>0</v>
      </c>
      <c r="AF17">
        <f t="shared" si="11"/>
        <v>0</v>
      </c>
    </row>
    <row r="18" spans="1:32" ht="15.75" x14ac:dyDescent="0.25">
      <c r="A18" s="1"/>
      <c r="B18" s="24"/>
      <c r="C18" s="35"/>
      <c r="D18" s="35"/>
      <c r="E18" s="24"/>
      <c r="F18" s="25"/>
      <c r="G18" s="25"/>
      <c r="H18" s="25"/>
      <c r="I18" s="25"/>
      <c r="J18" s="24"/>
      <c r="K18" s="25"/>
      <c r="L18" s="36">
        <f>SUM(L5:L17)</f>
        <v>720</v>
      </c>
      <c r="M18" s="36">
        <f t="shared" ref="M18:Y18" si="15">SUM(M5:M17)</f>
        <v>720</v>
      </c>
      <c r="N18" s="36">
        <f t="shared" si="15"/>
        <v>720</v>
      </c>
      <c r="O18" s="36">
        <f t="shared" si="15"/>
        <v>0</v>
      </c>
      <c r="P18" s="37">
        <f>SUM(P5:P17)</f>
        <v>2160</v>
      </c>
      <c r="Q18" s="37">
        <f t="shared" si="15"/>
        <v>8190000</v>
      </c>
      <c r="R18" s="37">
        <f t="shared" si="15"/>
        <v>600000</v>
      </c>
      <c r="S18" s="37">
        <f t="shared" si="15"/>
        <v>166625</v>
      </c>
      <c r="T18" s="37">
        <f t="shared" si="15"/>
        <v>550000</v>
      </c>
      <c r="U18" s="37">
        <f t="shared" si="15"/>
        <v>391875</v>
      </c>
      <c r="V18" s="37">
        <f t="shared" si="15"/>
        <v>-125000</v>
      </c>
      <c r="W18" s="37">
        <f t="shared" si="15"/>
        <v>200000</v>
      </c>
      <c r="X18" s="37">
        <f t="shared" si="15"/>
        <v>0</v>
      </c>
      <c r="Y18" s="37">
        <f t="shared" si="15"/>
        <v>9974500</v>
      </c>
    </row>
    <row r="19" spans="1:32" ht="15.75" x14ac:dyDescent="0.25">
      <c r="A19" s="1"/>
      <c r="B19" s="5"/>
      <c r="C19" s="8"/>
      <c r="D19" s="8"/>
      <c r="E19" s="70"/>
      <c r="F19" s="63"/>
      <c r="G19" s="8"/>
      <c r="H19" s="8"/>
      <c r="I19" s="8"/>
      <c r="J19" s="8"/>
      <c r="K19" s="8"/>
      <c r="L19" s="73"/>
      <c r="M19" s="74"/>
      <c r="N19" s="74"/>
      <c r="W19" s="76">
        <f ca="1">NOW()</f>
        <v>45420.011940046294</v>
      </c>
      <c r="X19" s="76"/>
    </row>
    <row r="20" spans="1:32" ht="15.75" x14ac:dyDescent="0.25">
      <c r="A20" s="1"/>
      <c r="B20" s="5"/>
      <c r="C20" s="8"/>
      <c r="D20" s="8"/>
      <c r="E20" s="70"/>
      <c r="F20" s="63"/>
      <c r="G20" s="8"/>
      <c r="H20" s="8"/>
      <c r="I20" s="8"/>
      <c r="J20" s="8"/>
      <c r="K20" s="8"/>
    </row>
    <row r="21" spans="1:32" ht="15.75" x14ac:dyDescent="0.25">
      <c r="A21" s="1"/>
      <c r="B21" s="9"/>
      <c r="C21" s="9"/>
      <c r="D21" s="9"/>
      <c r="E21" s="10"/>
      <c r="F21" s="7"/>
      <c r="G21" s="9"/>
      <c r="H21" s="6"/>
      <c r="I21" s="7"/>
      <c r="J21" s="7"/>
      <c r="K21" s="5"/>
      <c r="L21" s="17"/>
      <c r="M21" s="16"/>
    </row>
    <row r="22" spans="1:32" ht="15.75" x14ac:dyDescent="0.25">
      <c r="A22" s="1"/>
      <c r="B22" s="10"/>
      <c r="C22" s="10"/>
      <c r="D22" s="10"/>
      <c r="E22" s="10"/>
      <c r="F22" s="7"/>
      <c r="G22" s="10"/>
      <c r="H22" s="6"/>
      <c r="I22" s="6"/>
      <c r="J22" s="6"/>
      <c r="K22" s="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32" ht="15.75" x14ac:dyDescent="0.25">
      <c r="A23" s="1"/>
      <c r="B23" s="12"/>
      <c r="C23" s="10"/>
      <c r="D23" s="10"/>
      <c r="E23" s="10"/>
      <c r="F23" s="7"/>
      <c r="G23" s="10"/>
      <c r="H23" s="10"/>
      <c r="I23" s="10"/>
      <c r="J23" s="10"/>
      <c r="K23" s="10"/>
      <c r="L23" s="10"/>
      <c r="M23" s="1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32" ht="15.75" x14ac:dyDescent="0.25">
      <c r="A24" s="1"/>
      <c r="B24" s="46"/>
      <c r="C24" s="46" t="s">
        <v>33</v>
      </c>
      <c r="D24" s="46"/>
      <c r="E24" s="77" t="b">
        <f>IF(L19&gt;0,data!F3/L19)</f>
        <v>0</v>
      </c>
      <c r="F24" s="77"/>
      <c r="G24" s="10"/>
      <c r="H24" s="10"/>
      <c r="I24" s="10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6"/>
      <c r="U24" s="6"/>
      <c r="V24" s="6"/>
      <c r="W24" s="6"/>
      <c r="X24" s="6"/>
      <c r="Y24" s="6"/>
    </row>
    <row r="25" spans="1:32" ht="15.75" x14ac:dyDescent="0.25">
      <c r="A25" s="1"/>
      <c r="B25" s="45"/>
      <c r="C25" s="45"/>
      <c r="D25" s="45"/>
      <c r="E25" s="7"/>
      <c r="F25" s="7"/>
      <c r="G25" s="10"/>
      <c r="H25" s="10"/>
      <c r="I25" s="10"/>
      <c r="J25" s="10"/>
      <c r="K25" s="18"/>
      <c r="L25" s="18"/>
      <c r="M25" s="18"/>
      <c r="N25" s="18"/>
      <c r="O25" s="1"/>
      <c r="P25" s="1"/>
      <c r="Q25" s="1"/>
      <c r="R25" s="1"/>
      <c r="S25" s="1"/>
      <c r="T25" s="6"/>
      <c r="U25" s="6"/>
      <c r="V25" s="6"/>
      <c r="W25" s="6"/>
      <c r="X25" s="6"/>
      <c r="Y25" s="6"/>
    </row>
    <row r="26" spans="1:32" ht="15.75" x14ac:dyDescent="0.25">
      <c r="A26" s="1"/>
      <c r="B26" s="7"/>
      <c r="C26" s="7"/>
      <c r="D26" s="7"/>
      <c r="E26" s="7"/>
      <c r="F26" s="7"/>
      <c r="G26" s="10"/>
      <c r="H26" s="10"/>
      <c r="I26" s="10"/>
      <c r="J26" s="10"/>
      <c r="K26" s="1"/>
      <c r="L26" s="1"/>
      <c r="M26" s="1"/>
      <c r="N26" s="18"/>
      <c r="O26" s="1"/>
      <c r="P26" s="1"/>
      <c r="Q26" s="1"/>
      <c r="R26" s="1"/>
      <c r="S26" s="1"/>
      <c r="T26" s="6"/>
      <c r="U26" s="6"/>
      <c r="V26" s="6"/>
      <c r="W26" s="6"/>
      <c r="X26" s="6"/>
      <c r="Y26" s="6"/>
    </row>
    <row r="27" spans="1:32" ht="15.75" x14ac:dyDescent="0.25">
      <c r="A27" s="1"/>
      <c r="B27" s="72" t="s">
        <v>48</v>
      </c>
      <c r="C27" s="72"/>
      <c r="D27" s="72"/>
      <c r="E27" s="72"/>
      <c r="F27" s="7">
        <v>3</v>
      </c>
      <c r="G27" s="10"/>
      <c r="H27" s="10"/>
      <c r="I27" s="10"/>
      <c r="J27" s="10"/>
      <c r="K27" s="1"/>
      <c r="L27" s="1"/>
      <c r="M27" s="1"/>
      <c r="N27" s="18"/>
      <c r="O27" s="1"/>
      <c r="P27" s="1"/>
      <c r="Q27" s="1"/>
      <c r="R27" s="1"/>
      <c r="S27" s="1"/>
      <c r="T27" s="6"/>
      <c r="U27" s="6"/>
      <c r="V27" s="6"/>
      <c r="W27" s="6"/>
      <c r="X27" s="6"/>
      <c r="Y27" s="6"/>
    </row>
    <row r="28" spans="1:32" ht="15.75" x14ac:dyDescent="0.25">
      <c r="A28" s="1"/>
      <c r="B28" s="72" t="s">
        <v>34</v>
      </c>
      <c r="C28" s="72"/>
      <c r="D28" s="72"/>
      <c r="E28" s="72"/>
      <c r="F28" s="64">
        <f>31*24*F27</f>
        <v>2232</v>
      </c>
      <c r="G28" s="14"/>
      <c r="H28" s="39"/>
      <c r="I28" s="14"/>
      <c r="J28" s="14"/>
      <c r="K28" s="1"/>
      <c r="L28" s="1"/>
      <c r="M28" s="1"/>
      <c r="N28" s="18"/>
      <c r="O28" s="1"/>
      <c r="P28" s="1"/>
      <c r="Q28" s="1"/>
      <c r="R28" s="1"/>
      <c r="S28" s="1"/>
      <c r="T28" s="6"/>
      <c r="U28" s="6"/>
      <c r="V28" s="6"/>
      <c r="W28" s="6"/>
      <c r="X28" s="6"/>
      <c r="Y28" s="6"/>
    </row>
    <row r="29" spans="1:32" ht="15.75" x14ac:dyDescent="0.25">
      <c r="A29" s="1"/>
      <c r="B29" s="72" t="s">
        <v>38</v>
      </c>
      <c r="C29" s="72"/>
      <c r="D29" s="72"/>
      <c r="E29" s="72"/>
      <c r="F29" s="64">
        <v>0</v>
      </c>
      <c r="G29" s="14"/>
      <c r="H29" s="14"/>
      <c r="I29" s="14"/>
      <c r="J29" s="14"/>
      <c r="K29" s="1"/>
      <c r="L29" s="55"/>
      <c r="M29" s="1"/>
      <c r="N29" s="18"/>
      <c r="O29" s="1"/>
      <c r="P29" s="54"/>
      <c r="Q29" s="54"/>
      <c r="R29" s="1"/>
      <c r="S29" s="1"/>
      <c r="T29" s="6"/>
      <c r="U29" s="6"/>
      <c r="V29" s="6"/>
      <c r="W29" s="6"/>
      <c r="X29" s="6"/>
      <c r="Y29" s="6"/>
    </row>
    <row r="30" spans="1:32" ht="15.75" x14ac:dyDescent="0.25">
      <c r="A30" s="1"/>
      <c r="B30" s="72" t="s">
        <v>39</v>
      </c>
      <c r="C30" s="72"/>
      <c r="D30" s="72"/>
      <c r="E30" s="72"/>
      <c r="F30" s="65">
        <f>F28-F29</f>
        <v>2232</v>
      </c>
      <c r="G30" s="15"/>
      <c r="H30" s="15"/>
      <c r="I30" s="15"/>
      <c r="J30" s="15"/>
      <c r="K30" s="1"/>
      <c r="L30" s="1"/>
      <c r="M30" s="1"/>
      <c r="N30" s="18"/>
      <c r="O30" s="1"/>
      <c r="P30" s="1"/>
      <c r="Q30" s="1"/>
      <c r="R30" s="1"/>
      <c r="S30" s="1"/>
      <c r="T30" s="6"/>
      <c r="U30" s="6"/>
      <c r="V30" s="6"/>
      <c r="W30" s="6"/>
      <c r="X30" s="6"/>
      <c r="Y30" s="6"/>
    </row>
    <row r="31" spans="1:32" ht="15.75" x14ac:dyDescent="0.25">
      <c r="A31" s="1"/>
      <c r="B31" s="71" t="s">
        <v>40</v>
      </c>
      <c r="C31" s="71"/>
      <c r="D31" s="71"/>
      <c r="E31" s="71"/>
      <c r="F31" s="66">
        <f>P18</f>
        <v>2160</v>
      </c>
      <c r="G31" s="15"/>
      <c r="H31" s="15"/>
      <c r="I31" s="15"/>
      <c r="J31" s="15"/>
      <c r="K31" s="1"/>
      <c r="L31" s="1"/>
      <c r="M31" s="1"/>
      <c r="N31" s="18"/>
      <c r="O31" s="1"/>
      <c r="P31" s="1"/>
      <c r="Q31" s="1"/>
      <c r="R31" s="1"/>
      <c r="S31" s="1"/>
      <c r="T31" s="11"/>
      <c r="U31" s="11"/>
      <c r="V31" s="11"/>
      <c r="W31" s="11"/>
      <c r="X31" s="11"/>
      <c r="Y31" s="11"/>
    </row>
    <row r="32" spans="1:32" ht="15.75" x14ac:dyDescent="0.25">
      <c r="A32" s="1"/>
      <c r="B32" s="71" t="s">
        <v>41</v>
      </c>
      <c r="C32" s="71"/>
      <c r="D32" s="71"/>
      <c r="E32" s="71"/>
      <c r="F32" s="67">
        <f>-(F30-F31)</f>
        <v>-72</v>
      </c>
      <c r="G32" s="14"/>
      <c r="H32" s="14"/>
      <c r="I32" s="14"/>
      <c r="J32" s="15"/>
      <c r="K32" s="15"/>
      <c r="L32" s="15"/>
      <c r="M32" s="13"/>
      <c r="N32" s="7"/>
      <c r="O32" s="7"/>
      <c r="P32" s="11"/>
      <c r="Q32" s="5"/>
      <c r="R32" s="11"/>
      <c r="S32" s="11"/>
      <c r="T32" s="11"/>
      <c r="U32" s="5"/>
      <c r="V32" s="5"/>
      <c r="W32" s="5"/>
      <c r="X32" s="5"/>
      <c r="Y32" s="7"/>
    </row>
  </sheetData>
  <mergeCells count="10">
    <mergeCell ref="B29:E29"/>
    <mergeCell ref="B30:E30"/>
    <mergeCell ref="B31:E31"/>
    <mergeCell ref="B32:E32"/>
    <mergeCell ref="B3:D3"/>
    <mergeCell ref="L19:N19"/>
    <mergeCell ref="W19:X19"/>
    <mergeCell ref="E24:F24"/>
    <mergeCell ref="B27:E27"/>
    <mergeCell ref="B28:E2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data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billing</cp:lastModifiedBy>
  <cp:lastPrinted>2024-03-05T21:43:57Z</cp:lastPrinted>
  <dcterms:created xsi:type="dcterms:W3CDTF">2022-07-05T15:57:31Z</dcterms:created>
  <dcterms:modified xsi:type="dcterms:W3CDTF">2024-05-07T17:18:12Z</dcterms:modified>
</cp:coreProperties>
</file>